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8640" windowHeight="9480" firstSheet="3" activeTab="8"/>
  </bookViews>
  <sheets>
    <sheet name="Tuition &amp; Fees Data" sheetId="1" r:id="rId1"/>
    <sheet name="Summary Medians" sheetId="2" r:id="rId2"/>
    <sheet name="Tuition &amp; Fees Policies" sheetId="3" r:id="rId3"/>
    <sheet name="Table 97" sheetId="4" r:id="rId4"/>
    <sheet name="Table 98" sheetId="5" r:id="rId5"/>
    <sheet name="Table 99" sheetId="6" r:id="rId6"/>
    <sheet name="Table 100" sheetId="7" r:id="rId7"/>
    <sheet name="Table 101" sheetId="8" r:id="rId8"/>
    <sheet name="Table 102" sheetId="9" r:id="rId9"/>
    <sheet name="Table 103" sheetId="10" r:id="rId10"/>
    <sheet name="Table 104" sheetId="11" r:id="rId11"/>
    <sheet name="Table 105" sheetId="12" r:id="rId12"/>
  </sheets>
  <definedNames>
    <definedName name="APPHEAD">#REF!</definedName>
    <definedName name="CHHEAD">#REF!</definedName>
    <definedName name="PAGE_17">#REF!</definedName>
    <definedName name="PAGE1">#REF!</definedName>
    <definedName name="PAGE10">#REF!</definedName>
    <definedName name="PAGE11">#REF!</definedName>
    <definedName name="PAGE12">#REF!</definedName>
    <definedName name="PAGE13">#REF!</definedName>
    <definedName name="PAGE14">#REF!</definedName>
    <definedName name="PAGE15">#REF!</definedName>
    <definedName name="PAGE16">#REF!</definedName>
    <definedName name="PAGE17">#REF!</definedName>
    <definedName name="PAGE18">#REF!</definedName>
    <definedName name="PAGE19">#REF!</definedName>
    <definedName name="PAGE2">#REF!</definedName>
    <definedName name="PAGE20">#REF!</definedName>
    <definedName name="PAGE3">#REF!</definedName>
    <definedName name="PAGE4">#REF!</definedName>
    <definedName name="PAGE5">#REF!</definedName>
    <definedName name="PAGE6">#REF!</definedName>
    <definedName name="PAGE7">#REF!</definedName>
    <definedName name="PAGE8">#REF!</definedName>
    <definedName name="PAGE9">#REF!</definedName>
    <definedName name="PART1">#REF!</definedName>
    <definedName name="PART2">#REF!</definedName>
    <definedName name="PART3">#REF!</definedName>
    <definedName name="PART4A">#REF!</definedName>
    <definedName name="PART4B">#REF!</definedName>
    <definedName name="PART5">#REF!</definedName>
    <definedName name="PART6A">#REF!</definedName>
    <definedName name="PART6B">#REF!</definedName>
    <definedName name="PART6C">#REF!</definedName>
    <definedName name="PART7B">#REF!</definedName>
    <definedName name="PART7C">#REF!</definedName>
    <definedName name="PART8">#REF!</definedName>
    <definedName name="_xlnm.Print_Area" localSheetId="1">'Summary Medians'!$C$3:$BD$274</definedName>
    <definedName name="_xlnm.Print_Area" localSheetId="6">'Table 100'!$A$1:$H$32</definedName>
    <definedName name="_xlnm.Print_Area" localSheetId="7">'Table 101'!$A$1:$J$33</definedName>
    <definedName name="_xlnm.Print_Area" localSheetId="8">'Table 102'!$A$1:$H$33</definedName>
    <definedName name="_xlnm.Print_Area" localSheetId="9">'Table 103'!$A$1:$H$33</definedName>
    <definedName name="_xlnm.Print_Area" localSheetId="10">'Table 104'!$A$1:$H$33</definedName>
    <definedName name="_xlnm.Print_Area" localSheetId="11">'Table 105'!$A$1:$H$34</definedName>
    <definedName name="_xlnm.Print_Area" localSheetId="3">'Table 97'!$A$1:$I$29</definedName>
    <definedName name="_xlnm.Print_Area" localSheetId="4">'Table 98'!$A$1:$H$33</definedName>
    <definedName name="_xlnm.Print_Area" localSheetId="5">'Table 99'!$A$1:$J$33</definedName>
    <definedName name="_xlnm.Print_Titles" localSheetId="1">'Summary Medians'!$A:$B,'Summary Medians'!$1:$2</definedName>
    <definedName name="_xlnm.Print_Titles" localSheetId="2">'Tuition &amp; Fees Policies'!$A:$A,'Tuition &amp; Fees Policies'!$1:$2</definedName>
    <definedName name="RATIONALE">#REF!</definedName>
    <definedName name="RATIONALE2">#REF!</definedName>
    <definedName name="SALHEAD">#REF!</definedName>
  </definedNames>
  <calcPr fullCalcOnLoad="1"/>
</workbook>
</file>

<file path=xl/comments1.xml><?xml version="1.0" encoding="utf-8"?>
<comments xmlns="http://schemas.openxmlformats.org/spreadsheetml/2006/main">
  <authors>
    <author>Eugene S. Fields</author>
    <author>cbrown</author>
    <author>Jeannie Reed</author>
    <author>judym</author>
    <author>jpruitt</author>
    <author>jmarks</author>
    <author>mloverde</author>
    <author>snoxel</author>
    <author>mbailey</author>
  </authors>
  <commentList>
    <comment ref="B219" authorId="0">
      <text>
        <r>
          <rPr>
            <b/>
            <sz val="8"/>
            <rFont val="Tahoma"/>
            <family val="0"/>
          </rPr>
          <t>BoR: The reporting of tuition and fees at La Tech has changed to more accurately reflect annual numbers.</t>
        </r>
        <r>
          <rPr>
            <sz val="8"/>
            <rFont val="Tahoma"/>
            <family val="0"/>
          </rPr>
          <t xml:space="preserve">
</t>
        </r>
      </text>
    </comment>
    <comment ref="B492" authorId="1">
      <text>
        <r>
          <rPr>
            <b/>
            <sz val="8"/>
            <rFont val="Tahoma"/>
            <family val="0"/>
          </rPr>
          <t>cbrown:</t>
        </r>
        <r>
          <rPr>
            <sz val="8"/>
            <rFont val="Tahoma"/>
            <family val="0"/>
          </rPr>
          <t xml:space="preserve">
Name change 2004 reporting</t>
        </r>
      </text>
    </comment>
    <comment ref="F495" authorId="1">
      <text>
        <r>
          <rPr>
            <b/>
            <sz val="8"/>
            <rFont val="Tahoma"/>
            <family val="0"/>
          </rPr>
          <t>cbrown:</t>
        </r>
        <r>
          <rPr>
            <sz val="8"/>
            <rFont val="Tahoma"/>
            <family val="0"/>
          </rPr>
          <t xml:space="preserve">
Spring 05 fee increase to $3038</t>
        </r>
      </text>
    </comment>
    <comment ref="F513" authorId="1">
      <text>
        <r>
          <rPr>
            <b/>
            <sz val="8"/>
            <rFont val="Tahoma"/>
            <family val="0"/>
          </rPr>
          <t>cbrown:</t>
        </r>
        <r>
          <rPr>
            <sz val="8"/>
            <rFont val="Tahoma"/>
            <family val="0"/>
          </rPr>
          <t xml:space="preserve">
Spring 2005 fee increase to $2692</t>
        </r>
      </text>
    </comment>
    <comment ref="H513" authorId="1">
      <text>
        <r>
          <rPr>
            <b/>
            <sz val="8"/>
            <rFont val="Tahoma"/>
            <family val="0"/>
          </rPr>
          <t>cbrown:</t>
        </r>
        <r>
          <rPr>
            <sz val="8"/>
            <rFont val="Tahoma"/>
            <family val="0"/>
          </rPr>
          <t xml:space="preserve">
Spring 2005 fee increase to $4990</t>
        </r>
      </text>
    </comment>
    <comment ref="B727" authorId="2">
      <text>
        <r>
          <rPr>
            <b/>
            <sz val="8"/>
            <rFont val="Tahoma"/>
            <family val="0"/>
          </rPr>
          <t>Jeannie Reed:</t>
        </r>
        <r>
          <rPr>
            <sz val="8"/>
            <rFont val="Tahoma"/>
            <family val="0"/>
          </rPr>
          <t xml:space="preserve">
New</t>
        </r>
      </text>
    </comment>
    <comment ref="B730" authorId="2">
      <text>
        <r>
          <rPr>
            <b/>
            <sz val="8"/>
            <rFont val="Tahoma"/>
            <family val="0"/>
          </rPr>
          <t>Jeannie Reed:</t>
        </r>
        <r>
          <rPr>
            <sz val="8"/>
            <rFont val="Tahoma"/>
            <family val="0"/>
          </rPr>
          <t xml:space="preserve">
New</t>
        </r>
      </text>
    </comment>
    <comment ref="B734" authorId="2">
      <text>
        <r>
          <rPr>
            <b/>
            <sz val="8"/>
            <rFont val="Tahoma"/>
            <family val="0"/>
          </rPr>
          <t>Jeannie Reed:</t>
        </r>
        <r>
          <rPr>
            <sz val="8"/>
            <rFont val="Tahoma"/>
            <family val="0"/>
          </rPr>
          <t xml:space="preserve">
New</t>
        </r>
      </text>
    </comment>
    <comment ref="E79" authorId="3">
      <text>
        <r>
          <rPr>
            <b/>
            <sz val="8"/>
            <rFont val="Tahoma"/>
            <family val="0"/>
          </rPr>
          <t>judym:</t>
        </r>
        <r>
          <rPr>
            <sz val="8"/>
            <rFont val="Tahoma"/>
            <family val="0"/>
          </rPr>
          <t xml:space="preserve">
This is avg of U/G-HRP GRP-1 &amp; GRP-2</t>
        </r>
      </text>
    </comment>
    <comment ref="F192" authorId="4">
      <text>
        <r>
          <rPr>
            <b/>
            <sz val="8"/>
            <rFont val="Tahoma"/>
            <family val="0"/>
          </rPr>
          <t>jpruitt:</t>
        </r>
        <r>
          <rPr>
            <sz val="8"/>
            <rFont val="Tahoma"/>
            <family val="0"/>
          </rPr>
          <t xml:space="preserve">
Lower division tuition and fee rates were $5,164 and upper division rates were $5,314.</t>
        </r>
      </text>
    </comment>
    <comment ref="H192" authorId="4">
      <text>
        <r>
          <rPr>
            <b/>
            <sz val="8"/>
            <rFont val="Tahoma"/>
            <family val="0"/>
          </rPr>
          <t>jpruitt:</t>
        </r>
        <r>
          <rPr>
            <sz val="8"/>
            <rFont val="Tahoma"/>
            <family val="0"/>
          </rPr>
          <t xml:space="preserve">
Lower Division $11,944
Upper Division $12094</t>
        </r>
      </text>
    </comment>
    <comment ref="B199" authorId="5">
      <text>
        <r>
          <rPr>
            <sz val="8"/>
            <color indexed="8"/>
            <rFont val="Tahoma"/>
            <family val="0"/>
          </rPr>
          <t>Reclassified: met criteria for Four-Year 5 in 2002-03, 2003-04 and 2004-05.</t>
        </r>
      </text>
    </comment>
    <comment ref="B200" authorId="6">
      <text>
        <r>
          <rPr>
            <b/>
            <sz val="8"/>
            <rFont val="Tahoma"/>
            <family val="0"/>
          </rPr>
          <t>Lexington Community College and Central Kentucky Technical College merged to become Bluegrass Community and Technical College</t>
        </r>
      </text>
    </comment>
    <comment ref="B201" authorId="6">
      <text>
        <r>
          <rPr>
            <b/>
            <sz val="8"/>
            <rFont val="Tahoma"/>
            <family val="0"/>
          </rPr>
          <t>Jefferson Community College and Jefferson Technical College merged to become Jefferson Community and Technical College</t>
        </r>
      </text>
    </comment>
    <comment ref="B202" authorId="6">
      <text>
        <r>
          <rPr>
            <b/>
            <sz val="8"/>
            <rFont val="Tahoma"/>
            <family val="0"/>
          </rPr>
          <t>Ashland Community College merged with Ashland Technical College to become Ashland Community and Technical College</t>
        </r>
      </text>
    </comment>
    <comment ref="B203" authorId="6">
      <text>
        <r>
          <rPr>
            <b/>
            <sz val="8"/>
            <rFont val="Tahoma"/>
            <family val="0"/>
          </rPr>
          <t>Big Sandy Community and Technical College merged with Big Sandy Community and Technical College Mayo Campus to become Big Sandy Community and Technical College</t>
        </r>
      </text>
    </comment>
    <comment ref="B204" authorId="6">
      <text>
        <r>
          <rPr>
            <b/>
            <sz val="8"/>
            <rFont val="Tahoma"/>
            <family val="0"/>
          </rPr>
          <t>Elizabethtown Community College and Elizabethtown Technical College merged to become Elizabethtown Community and Technical College</t>
        </r>
      </text>
    </comment>
    <comment ref="B205" authorId="7">
      <text>
        <r>
          <rPr>
            <b/>
            <sz val="8"/>
            <rFont val="Tahoma"/>
            <family val="0"/>
          </rPr>
          <t>snoxel:</t>
        </r>
        <r>
          <rPr>
            <sz val="8"/>
            <rFont val="Tahoma"/>
            <family val="0"/>
          </rPr>
          <t xml:space="preserve">
formerly called Hazard Community College.</t>
        </r>
      </text>
    </comment>
    <comment ref="B206" authorId="6">
      <text>
        <r>
          <rPr>
            <sz val="8"/>
            <rFont val="Tahoma"/>
            <family val="2"/>
          </rPr>
          <t xml:space="preserve">Reclassified: Met the criteria for a SREB Two-Year 2 (a "9")  in 02-03, 03-04 and 04-05
</t>
        </r>
        <r>
          <rPr>
            <b/>
            <sz val="8"/>
            <rFont val="Tahoma"/>
            <family val="2"/>
          </rPr>
          <t>Snoxel:</t>
        </r>
        <r>
          <rPr>
            <sz val="8"/>
            <rFont val="Tahoma"/>
            <family val="2"/>
          </rPr>
          <t xml:space="preserve"> formerly called Madisonville Community College (CTC)</t>
        </r>
      </text>
    </comment>
    <comment ref="B207" authorId="8">
      <text>
        <r>
          <rPr>
            <sz val="8"/>
            <rFont val="Tahoma"/>
            <family val="0"/>
          </rPr>
          <t>Met criteria for a SREB Two-Year 2 (a "9")  in 04-05. Consolidated with Owensboro Technical College and renamed.</t>
        </r>
      </text>
    </comment>
    <comment ref="B208" authorId="6">
      <text>
        <r>
          <rPr>
            <b/>
            <sz val="8"/>
            <rFont val="Tahoma"/>
            <family val="0"/>
          </rPr>
          <t>Somerset Community College and Somerset Technical College merged to become Somerset Community and Technical College</t>
        </r>
      </text>
    </comment>
    <comment ref="B209" authorId="6">
      <text>
        <r>
          <rPr>
            <b/>
            <sz val="8"/>
            <rFont val="Tahoma"/>
            <family val="0"/>
          </rPr>
          <t>formerly Southeast  Community and Technical College</t>
        </r>
      </text>
    </comment>
    <comment ref="B210" authorId="6">
      <text>
        <r>
          <rPr>
            <b/>
            <sz val="8"/>
            <rFont val="Tahoma"/>
            <family val="0"/>
          </rPr>
          <t>Paducah Community College merged with West Kentucky Technical College and Rowan Technical College to become West Kentucky Community and Technical College</t>
        </r>
      </text>
    </comment>
    <comment ref="B213" authorId="6">
      <text>
        <r>
          <rPr>
            <b/>
            <sz val="8"/>
            <rFont val="Tahoma"/>
            <family val="0"/>
          </rPr>
          <t xml:space="preserve">formerly Maysville Community College </t>
        </r>
      </text>
    </comment>
    <comment ref="B147" authorId="6">
      <text>
        <r>
          <rPr>
            <b/>
            <sz val="8"/>
            <rFont val="Tahoma"/>
            <family val="0"/>
          </rPr>
          <t>formerly Gainesville College -- offering limited baccalaureate programs</t>
        </r>
      </text>
    </comment>
  </commentList>
</comments>
</file>

<file path=xl/comments2.xml><?xml version="1.0" encoding="utf-8"?>
<comments xmlns="http://schemas.openxmlformats.org/spreadsheetml/2006/main">
  <authors>
    <author>jmarks</author>
    <author>mloverde</author>
  </authors>
  <commentList>
    <comment ref="C275" authorId="0">
      <text>
        <r>
          <rPr>
            <b/>
            <sz val="8"/>
            <rFont val="Tahoma"/>
            <family val="0"/>
          </rPr>
          <t>jmarks:</t>
        </r>
        <r>
          <rPr>
            <sz val="8"/>
            <rFont val="Tahoma"/>
            <family val="0"/>
          </rPr>
          <t xml:space="preserve">
see sample formula below</t>
        </r>
      </text>
    </comment>
    <comment ref="A1" authorId="1">
      <text>
        <r>
          <rPr>
            <b/>
            <sz val="8"/>
            <rFont val="Tahoma"/>
            <family val="0"/>
          </rPr>
          <t>when computing medians for All 4-yr schools, do not include specialized institutions (type 15)</t>
        </r>
      </text>
    </comment>
    <comment ref="B1" authorId="1">
      <text>
        <r>
          <rPr>
            <b/>
            <sz val="8"/>
            <rFont val="Tahoma"/>
            <family val="0"/>
          </rPr>
          <t xml:space="preserve">STATUS:
data has been added and medians computed for all states except Texas and SREB totals -- need to range value formulas when complete </t>
        </r>
      </text>
    </comment>
  </commentList>
</comments>
</file>

<file path=xl/comments3.xml><?xml version="1.0" encoding="utf-8"?>
<comments xmlns="http://schemas.openxmlformats.org/spreadsheetml/2006/main">
  <authors>
    <author>jmarks</author>
  </authors>
  <commentList>
    <comment ref="E2" authorId="0">
      <text>
        <r>
          <rPr>
            <b/>
            <sz val="10"/>
            <rFont val="Tahoma"/>
            <family val="0"/>
          </rPr>
          <t>jmarks:</t>
        </r>
        <r>
          <rPr>
            <sz val="10"/>
            <rFont val="Tahoma"/>
            <family val="0"/>
          </rPr>
          <t xml:space="preserve">
all ACM states have at least that waiver</t>
        </r>
      </text>
    </comment>
  </commentList>
</comments>
</file>

<file path=xl/sharedStrings.xml><?xml version="1.0" encoding="utf-8"?>
<sst xmlns="http://schemas.openxmlformats.org/spreadsheetml/2006/main" count="2659" uniqueCount="1127">
  <si>
    <t xml:space="preserve">Kiamichi Technology Center-Atoka                  </t>
  </si>
  <si>
    <t xml:space="preserve">Kiamichi Technology Center-Durant                 </t>
  </si>
  <si>
    <t xml:space="preserve">Kiamichi Technology Center-Hugo                   </t>
  </si>
  <si>
    <t xml:space="preserve">Kiamichi Technology Center-Idabel                 </t>
  </si>
  <si>
    <t xml:space="preserve">Kiamichi Technology Center-McAlester              </t>
  </si>
  <si>
    <t xml:space="preserve">Kiamichi Technology Center-Poteau                 </t>
  </si>
  <si>
    <t xml:space="preserve">Kiamichi Technology Center-Spiro                  </t>
  </si>
  <si>
    <t xml:space="preserve">Kiamichi Technology Center-Stigler                </t>
  </si>
  <si>
    <t xml:space="preserve">Kiamichi Technology Center-Talihina               </t>
  </si>
  <si>
    <t xml:space="preserve">Meridian Technology Center                        </t>
  </si>
  <si>
    <t xml:space="preserve">Metro Technology Centers                          </t>
  </si>
  <si>
    <t xml:space="preserve">Mid-America Technology Center                     </t>
  </si>
  <si>
    <t xml:space="preserve">Mid-Del Technology Center                         </t>
  </si>
  <si>
    <t xml:space="preserve">Moore Norman Technology Center                    </t>
  </si>
  <si>
    <t xml:space="preserve">Northeast Technology Center-Afton                 </t>
  </si>
  <si>
    <t xml:space="preserve">Northeast Technology Center-Kansas                </t>
  </si>
  <si>
    <t xml:space="preserve">Northeast Technology Center-Pryor                 </t>
  </si>
  <si>
    <t xml:space="preserve">Northwest Technology Center-Alva                  </t>
  </si>
  <si>
    <t xml:space="preserve">Northwest Technology Center-Fairview              </t>
  </si>
  <si>
    <t xml:space="preserve">Pioneer Technology Center                         </t>
  </si>
  <si>
    <t xml:space="preserve">Pontotoc Technology Center                        </t>
  </si>
  <si>
    <t xml:space="preserve">Red River Technology Center                       </t>
  </si>
  <si>
    <t xml:space="preserve">Southern Oklahoma Technology Center               </t>
  </si>
  <si>
    <t xml:space="preserve">Southwest Technology Center                       </t>
  </si>
  <si>
    <t xml:space="preserve">Tri County Technology Center                      </t>
  </si>
  <si>
    <t xml:space="preserve">Tulsa County Area Voc Tech School Dist 18-Peoria  </t>
  </si>
  <si>
    <t xml:space="preserve">Tulsa Technology Center-Broken Arrow Campus       </t>
  </si>
  <si>
    <t xml:space="preserve">Tulsa Technology Center-Lemley Campus             </t>
  </si>
  <si>
    <t xml:space="preserve">Tulsa Technology Center-Riverside Campus          </t>
  </si>
  <si>
    <t>Louisiana Technical College-Avoyelles Campus</t>
  </si>
  <si>
    <t>Louisiana Technical College-Bastrop Campus</t>
  </si>
  <si>
    <t>Louisiana Technical College-Baton Rouge Campus</t>
  </si>
  <si>
    <t>Louisiana Technical College-Charles B. Coreil Campus</t>
  </si>
  <si>
    <t>Louisiana Technical College-Delta/Ouachita Campus</t>
  </si>
  <si>
    <t>Louisiana Technical College-Evangeline Campus</t>
  </si>
  <si>
    <t>Louisiana Technical College-Florida Parishes Campus</t>
  </si>
  <si>
    <t>Louisiana Technical College-Folkes Campus</t>
  </si>
  <si>
    <t>December 2006</t>
  </si>
  <si>
    <t>Notes: The amounts shown for each state are the medians (middle values) of the institutions in each state. The "SREB states median" is the middle value of all institutions with the professional program.</t>
  </si>
  <si>
    <t>Tennessee Technology Center at Whiteville</t>
  </si>
  <si>
    <t>Tuition rates generally are established such that the projected amount of revenue raised will approximate at least 25% of the total amount generated by the USG funding formula. Out-of-state tuition rates are established at a level representing at least four times the in-state tuition rates. University System of Georgia research universities may request increases in out-of-state tuition rates based on the tuition levels of peer or benchmark institutions. Graduate tuition is equal to 120% of under-graduate tuition. Institutions are permitted to request tuition differentials for nationally competitive professional programs.</t>
  </si>
  <si>
    <t>Varies-set by institutions.</t>
  </si>
  <si>
    <t>No limits except in the medical, dental, and law programs, which limit non-resident enrollment to no more than 10%.</t>
  </si>
  <si>
    <t>(E) Students in the SREB Academic Common Market program. 
(F) Students enrolled as part of the Competitive Economic Development projects, pilot programs, ICAPP® Advantage programs, and direct exchange programs. 
(G) Students who are employed by Georgia-based Corporations. 
(H) Students who are dependents of families moving to Georgia and 
(I) Students who are recently separated military service personnel enrolled in a program for teacher certification and demonstrate an intent to become a permanent resident of Georgia.</t>
  </si>
  <si>
    <t>Yes (graduate only).</t>
  </si>
  <si>
    <t>Not applicable.</t>
  </si>
  <si>
    <t>Per credit hour rates.</t>
  </si>
  <si>
    <t>Varies by institution, no statewide policy.</t>
  </si>
  <si>
    <t>Bluegrass Community and Technical College</t>
  </si>
  <si>
    <t xml:space="preserve">Jefferson Community and Technical College </t>
  </si>
  <si>
    <t>Ashland Community and Technical College</t>
  </si>
  <si>
    <t xml:space="preserve">Big Sandy Community and Technical College </t>
  </si>
  <si>
    <t xml:space="preserve">Elizabethtown Community and Technical College </t>
  </si>
  <si>
    <t>Hazard Community and Technical College</t>
  </si>
  <si>
    <t>Madisonville Community College</t>
  </si>
  <si>
    <t>Louisiana Technical College-Morgan Smith Campus</t>
  </si>
  <si>
    <t>Louisiana Technical College-Nachitoches Campus</t>
  </si>
  <si>
    <t>Louisiana Technical College-North Central Campus</t>
  </si>
  <si>
    <t>Louisiana Technical College-Northeast Louisiana Campus</t>
  </si>
  <si>
    <t>Louisiana Technical College-Northwest Louisiana Campus</t>
  </si>
  <si>
    <t>Louisiana Technical College-Oakdale Campus</t>
  </si>
  <si>
    <t>Louisiana Technical College-River Parishes Campus</t>
  </si>
  <si>
    <t>Louisiana Technical College-Ruston Campus</t>
  </si>
  <si>
    <t>Technical 2 (13)</t>
  </si>
  <si>
    <t>Technical size unk (14)</t>
  </si>
  <si>
    <t>Louisiana Technical College-Sabine Valley Campus</t>
  </si>
  <si>
    <t>Louisiana Technical College-Shelby M. Jackson Campus</t>
  </si>
  <si>
    <t xml:space="preserve">Norfolk State University </t>
  </si>
  <si>
    <t xml:space="preserve">Virginia State University </t>
  </si>
  <si>
    <t>Longwood University</t>
  </si>
  <si>
    <t>Christopher Newport University</t>
  </si>
  <si>
    <t xml:space="preserve">University of Virginia's College at Wise </t>
  </si>
  <si>
    <t>J.S. Reynolds Community College</t>
  </si>
  <si>
    <t xml:space="preserve">Northern Virginia Community College </t>
  </si>
  <si>
    <t xml:space="preserve">Tidewater Community College </t>
  </si>
  <si>
    <t xml:space="preserve">Central Virginia Community College </t>
  </si>
  <si>
    <t>Two-Year 3 (10)</t>
  </si>
  <si>
    <t>Technical 1 (12)</t>
  </si>
  <si>
    <t xml:space="preserve">Rockingham Community College </t>
  </si>
  <si>
    <t>Rowan-Cabarrus Community College</t>
  </si>
  <si>
    <t xml:space="preserve">Sandhills Community College </t>
  </si>
  <si>
    <t xml:space="preserve">Southeastern Community College </t>
  </si>
  <si>
    <t xml:space="preserve">Southwestern Community College </t>
  </si>
  <si>
    <t xml:space="preserve">Surry Community College </t>
  </si>
  <si>
    <t xml:space="preserve">Vance-Granville Community College </t>
  </si>
  <si>
    <t>Wayne Community College</t>
  </si>
  <si>
    <t xml:space="preserve">Western Piedmont Community College </t>
  </si>
  <si>
    <t xml:space="preserve">Wilkes Community College </t>
  </si>
  <si>
    <t xml:space="preserve">Beaufort County Community College </t>
  </si>
  <si>
    <t>Bladen Community College</t>
  </si>
  <si>
    <t>Brunswick Community College</t>
  </si>
  <si>
    <t>Carteret Community College</t>
  </si>
  <si>
    <t>Community &amp; Technical College at WVU Tech</t>
  </si>
  <si>
    <t xml:space="preserve">Halifax Community College </t>
  </si>
  <si>
    <t>Haywood Community College</t>
  </si>
  <si>
    <t xml:space="preserve">Isothermal Community College </t>
  </si>
  <si>
    <t>James Sprunt Community College</t>
  </si>
  <si>
    <t xml:space="preserve">Martin Community College </t>
  </si>
  <si>
    <t>Mayland Community College</t>
  </si>
  <si>
    <t>McDowell Technical Community College</t>
  </si>
  <si>
    <t>Montgomery Community College</t>
  </si>
  <si>
    <t>Pamlico Community College</t>
  </si>
  <si>
    <t>Piedmont Community College</t>
  </si>
  <si>
    <t>Roanoke-Chowan Community College</t>
  </si>
  <si>
    <t>Sampson Community College</t>
  </si>
  <si>
    <t>South Piedmont Community College</t>
  </si>
  <si>
    <t>Stanly Community College</t>
  </si>
  <si>
    <t xml:space="preserve">Tri-County Community College </t>
  </si>
  <si>
    <t>Wilson Technical Community College</t>
  </si>
  <si>
    <t xml:space="preserve">North Carolina State University </t>
  </si>
  <si>
    <t xml:space="preserve">University of North Carolina at Chapel Hill </t>
  </si>
  <si>
    <t>University of North Carolina at Greensboro</t>
  </si>
  <si>
    <t xml:space="preserve">Appalachian State University </t>
  </si>
  <si>
    <t xml:space="preserve">East Carolina University </t>
  </si>
  <si>
    <t>North Carolina Agricultural &amp; Technical State University</t>
  </si>
  <si>
    <t xml:space="preserve">North Carolina Central University </t>
  </si>
  <si>
    <t>University of North Carolina at Charlotte</t>
  </si>
  <si>
    <t xml:space="preserve">Western Carolina University </t>
  </si>
  <si>
    <t xml:space="preserve">Fayetteville State University </t>
  </si>
  <si>
    <t>University of North Carolina at Wilmington</t>
  </si>
  <si>
    <t>University of North Carolina at Pembroke</t>
  </si>
  <si>
    <t xml:space="preserve">Elizabeth City State University </t>
  </si>
  <si>
    <t>University of North Carolina at Asheville</t>
  </si>
  <si>
    <t xml:space="preserve">Winston-Salem State University </t>
  </si>
  <si>
    <t>North Carolina School of the Arts</t>
  </si>
  <si>
    <t>Oklahoma State University Main Campus</t>
  </si>
  <si>
    <t>University of Oklahoma Norman Campus</t>
  </si>
  <si>
    <t>207500</t>
  </si>
  <si>
    <t>University of Central Oklahoma</t>
  </si>
  <si>
    <t>206941</t>
  </si>
  <si>
    <t>Northeastern State University</t>
  </si>
  <si>
    <t>207263</t>
  </si>
  <si>
    <t xml:space="preserve">Cameron University </t>
  </si>
  <si>
    <t>206914</t>
  </si>
  <si>
    <t xml:space="preserve">East Central University </t>
  </si>
  <si>
    <t>207041</t>
  </si>
  <si>
    <t xml:space="preserve">Tuition fees for credit curriculum leading to a diploma or associate degree shall be charged on a uniform basis throughout the State and shall not exceed fifteen percent (15%) of the State and federal funds allocated for operational purposes to each technical institute in a given year.
Students attending technical institutes who reside outside the State of Georgia shall pay tuition twice that charged for Georgia residents. 
International students who are residents of the State shall pay the same tuition as Georgia students.
Non-resident aliens and those on I-20 Foreign Student Visas shall pay a tuition amounting to four (4) times that paid by a resident of Georgia.
International students, to include diplomatic, consular, mission, and other non-immigrant personnel shall pay tuition fees amounting to four (4) times that paid by a resident of Georgia.
</t>
  </si>
  <si>
    <t>Non-resident students admitted on a space available basis.</t>
  </si>
  <si>
    <t xml:space="preserve">Students who are classified as non-resident students under the Board's State Residency Policy shall normally be charged a rate of tuition twice that charged for students who are classified as resident students. The Commissioner may approve exceptions to this policy, provided:
i) A written application is submitted by the institution.
ii) There is evidence of a written reciprocity agreement with appropriate institutions in another state.
</t>
  </si>
  <si>
    <t>University of Arkansas for Medical Sciences</t>
  </si>
  <si>
    <t>University of Delaware</t>
  </si>
  <si>
    <t>Delaware State University</t>
  </si>
  <si>
    <t>Delaware Technical and Community College--Owens</t>
  </si>
  <si>
    <t>Delaware Technical and Community College--Stanton-Wilmington</t>
  </si>
  <si>
    <t>Delaware Technical and Community College--Terry</t>
  </si>
  <si>
    <t>University of Maryland College Park</t>
  </si>
  <si>
    <t>University of Maryland, Baltimore County</t>
  </si>
  <si>
    <t xml:space="preserve">Towson University </t>
  </si>
  <si>
    <t xml:space="preserve">Bowie State University </t>
  </si>
  <si>
    <t xml:space="preserve">Frostburg State University </t>
  </si>
  <si>
    <t>Morgan State University</t>
  </si>
  <si>
    <t xml:space="preserve">Salisbury University </t>
  </si>
  <si>
    <t>University of Baltimore</t>
  </si>
  <si>
    <t xml:space="preserve">University of Maryland Eastern Shore </t>
  </si>
  <si>
    <t>Saint Mary's College of Maryland</t>
  </si>
  <si>
    <t xml:space="preserve">Anne Arundel Community College </t>
  </si>
  <si>
    <t xml:space="preserve">South Georgia College </t>
  </si>
  <si>
    <t xml:space="preserve">Waycross College </t>
  </si>
  <si>
    <t>Medical College of Georgia</t>
  </si>
  <si>
    <t>Southern Polytechnic State University</t>
  </si>
  <si>
    <t>Albany Technical College</t>
  </si>
  <si>
    <t>Altamaha Technical College</t>
  </si>
  <si>
    <t>Athens Technical College</t>
  </si>
  <si>
    <t>Atlanta Technical College</t>
  </si>
  <si>
    <t>Augusta Technical College</t>
  </si>
  <si>
    <t>Central Georgia Technical College</t>
  </si>
  <si>
    <t>Chattahoochee Technical College</t>
  </si>
  <si>
    <t>Columbus Technical College</t>
  </si>
  <si>
    <t>Coosa Valley Technical College</t>
  </si>
  <si>
    <t>DeKalb Technical College</t>
  </si>
  <si>
    <t>East Central Technical College</t>
  </si>
  <si>
    <t>Flint River Technical College</t>
  </si>
  <si>
    <t>Griffin Technical College</t>
  </si>
  <si>
    <t>Gwinnett Technical College</t>
  </si>
  <si>
    <t>Heart of Georgia Technical College</t>
  </si>
  <si>
    <t>Lanier Technical College</t>
  </si>
  <si>
    <t>Middle Georgia Technical College</t>
  </si>
  <si>
    <t>Moultrie Technical College</t>
  </si>
  <si>
    <t>North Georgia Technical College</t>
  </si>
  <si>
    <t>North Metro Technical College</t>
  </si>
  <si>
    <t>Northwestern Technical College</t>
  </si>
  <si>
    <t>Ogeechee Technical College</t>
  </si>
  <si>
    <t>Okefenokee Technical College</t>
  </si>
  <si>
    <t>Savannah Technical College</t>
  </si>
  <si>
    <t>South Georgia Technical College</t>
  </si>
  <si>
    <t>Southeastern Technical College</t>
  </si>
  <si>
    <t>Southwest Georgia Technical College</t>
  </si>
  <si>
    <t>Valdosta Technical College</t>
  </si>
  <si>
    <t>West Central Technical College</t>
  </si>
  <si>
    <t>West Georgia Technical College</t>
  </si>
  <si>
    <t>Appalachian Technical College</t>
  </si>
  <si>
    <t>Sandersville Technical College</t>
  </si>
  <si>
    <t>Swainsboro Technical College</t>
  </si>
  <si>
    <t>University of Kentucky</t>
  </si>
  <si>
    <t>University of Louisville</t>
  </si>
  <si>
    <t xml:space="preserve">Eastern Kentucky University </t>
  </si>
  <si>
    <t xml:space="preserve">Murray State University </t>
  </si>
  <si>
    <t xml:space="preserve">Western Kentucky University </t>
  </si>
  <si>
    <t xml:space="preserve">Morehead State University </t>
  </si>
  <si>
    <t xml:space="preserve">Northern Kentucky University </t>
  </si>
  <si>
    <t xml:space="preserve">Kentucky State University </t>
  </si>
  <si>
    <t xml:space="preserve">Henderson Community College </t>
  </si>
  <si>
    <t xml:space="preserve">Hopkinsville Community College </t>
  </si>
  <si>
    <t>Bowling Green Technical College</t>
  </si>
  <si>
    <t>Gateway Community and Technical College</t>
  </si>
  <si>
    <t>Louisiana State University and A &amp; M College</t>
  </si>
  <si>
    <t>University of Louisiana at Lafayette</t>
  </si>
  <si>
    <t>University of New Orleans</t>
  </si>
  <si>
    <t xml:space="preserve">Louisiana Tech University </t>
  </si>
  <si>
    <t xml:space="preserve">Southern University and A&amp;M College at Baton Rouge </t>
  </si>
  <si>
    <t>University of Louisiana at Monroe</t>
  </si>
  <si>
    <t>Grambling State University</t>
  </si>
  <si>
    <t>McNeese State University</t>
  </si>
  <si>
    <t>Northwestern State University</t>
  </si>
  <si>
    <t xml:space="preserve">Southeastern Louisiana University </t>
  </si>
  <si>
    <t>Tuition and required fees are charged by the credit hour with the exception of medical, dentistry and vet. med. which are annual amounts. Block tuition rates for undergraduates (for a certain number of credits within a range) are under serious consideration.</t>
  </si>
  <si>
    <t>Full-time students are charged a set amount of tuition and fees. Part-time students are charged a per semester credit hour amount.</t>
  </si>
  <si>
    <t>Tuition and fee revenue, for the most part, is used for operations. Mississippi Code establishes a floor of 1 mill and a ceiling of 3 mills that must be provided by counties to their assigned community college district for capital improvements.</t>
  </si>
  <si>
    <t>Legislature sets limits on tuition increases. Tuition rate is based on cost of instruction: Resident students are expected to pay 1/3 of cost of instruction, non-residents should pay 100%. Tuition increases limits are developed in comparison to peer institutions in other states.</t>
  </si>
  <si>
    <t>Language contained in the Appropriation Act states that the Boards of Visitors may set tuition and fee charges at the levels they deem to be appropriate for all student groups based on, but not limited to, competitive market rates. Out-of-state student charges shall not be less than 100 percent of the average cost of education, unless an exception is granted. In addition, in setting tuition and fee charges, institutions shall take into consideration of the appropriate student share of costs associated with the base funding, salary increases and other priorities set forth in the Act.</t>
  </si>
  <si>
    <t xml:space="preserve">Each institutional governing board reviews and approves student tuition and fees. Fees require further approval by the  West Virginia Higher Education Policy Commission, and the WV Council for Community &amp; Technical College Education relying on compact reviews and state code guidelines. Non-residents should pay 100% of instructional costs. </t>
  </si>
  <si>
    <t xml:space="preserve">There is a required system capital fee component included within the required tuition and fees. This fee is required for debt service and capital expenditures. </t>
  </si>
  <si>
    <r>
      <t xml:space="preserve">Non-resident enrollment is limited to 10% of the </t>
    </r>
    <r>
      <rPr>
        <u val="single"/>
        <sz val="8"/>
        <color indexed="8"/>
        <rFont val="Arial"/>
        <family val="2"/>
      </rPr>
      <t>systemwide</t>
    </r>
    <r>
      <rPr>
        <sz val="8"/>
        <color indexed="8"/>
        <rFont val="Arial"/>
        <family val="2"/>
      </rPr>
      <t xml:space="preserve"> total.</t>
    </r>
  </si>
  <si>
    <t>Richmond Community College</t>
  </si>
  <si>
    <t>Robeson Community College</t>
  </si>
  <si>
    <t>Prairie View A &amp; M University</t>
  </si>
  <si>
    <t xml:space="preserve">Sam Houston State University </t>
  </si>
  <si>
    <t>Stephen F. Austin State University</t>
  </si>
  <si>
    <t xml:space="preserve">Sul Ross State University </t>
  </si>
  <si>
    <t>Tarleton State University</t>
  </si>
  <si>
    <t>Texas A &amp; M - Commerce</t>
  </si>
  <si>
    <t>Texas A &amp; M University-Corpus Christi</t>
  </si>
  <si>
    <t>Texas A &amp; M University-Kingsville</t>
  </si>
  <si>
    <t>Texas Southern University</t>
  </si>
  <si>
    <t>Texas State University-San Marcos (previously Southwest Texas State University)</t>
  </si>
  <si>
    <t>University of Houston-Clear Lake</t>
  </si>
  <si>
    <t>University of Texas at El Paso</t>
  </si>
  <si>
    <t>University of Texas at San Antonio</t>
  </si>
  <si>
    <t>University of Texas at Tyler</t>
  </si>
  <si>
    <t>University of Texas-Pan American</t>
  </si>
  <si>
    <t>West Texas A &amp; M University</t>
  </si>
  <si>
    <t>Texas A &amp; M International University</t>
  </si>
  <si>
    <t>Texas A &amp; M -Texarkana</t>
  </si>
  <si>
    <t>University of Texas at Brownsville</t>
  </si>
  <si>
    <t>University of Texas of the Permian Basin</t>
  </si>
  <si>
    <t>Sul Ross State University-Rio Grande College</t>
  </si>
  <si>
    <t>228501B</t>
  </si>
  <si>
    <t>University of Houston-Victoria</t>
  </si>
  <si>
    <t>Texas A &amp; M University at Galveston</t>
  </si>
  <si>
    <t>University of Houston-Downtown</t>
  </si>
  <si>
    <t xml:space="preserve">Amarillo College </t>
  </si>
  <si>
    <t xml:space="preserve">Austin Community College </t>
  </si>
  <si>
    <t xml:space="preserve">Blinn College </t>
  </si>
  <si>
    <t>Brookhaven College  (DCCCD)</t>
  </si>
  <si>
    <t xml:space="preserve">Central Texas College </t>
  </si>
  <si>
    <t>Collin County Community College District</t>
  </si>
  <si>
    <t xml:space="preserve">Del Mar College </t>
  </si>
  <si>
    <t>Eastfield College  (DCCCD)</t>
  </si>
  <si>
    <t>El Paso County Community College District</t>
  </si>
  <si>
    <t>Houston Community College</t>
  </si>
  <si>
    <t xml:space="preserve">Laredo Community College </t>
  </si>
  <si>
    <t xml:space="preserve">McLennan Community College </t>
  </si>
  <si>
    <t>North Harris Montgomery Community College District</t>
  </si>
  <si>
    <t>North Lake College  (DCCCD)</t>
  </si>
  <si>
    <t>Richland College  (DCCCD)</t>
  </si>
  <si>
    <t>San Antonio College (ACCD)</t>
  </si>
  <si>
    <t>San Jacinto College</t>
  </si>
  <si>
    <t xml:space="preserve">South Plains College </t>
  </si>
  <si>
    <t>South Texas Community College</t>
  </si>
  <si>
    <t>St. Philip's College  (ACCD)</t>
  </si>
  <si>
    <t>Tarrant County College</t>
  </si>
  <si>
    <t xml:space="preserve">Texas Southmost College </t>
  </si>
  <si>
    <t xml:space="preserve">Tyler Junior College </t>
  </si>
  <si>
    <t xml:space="preserve">Alvin Community College </t>
  </si>
  <si>
    <t xml:space="preserve">Angelina College </t>
  </si>
  <si>
    <t xml:space="preserve">Brazosport College </t>
  </si>
  <si>
    <t>Cedar Valley College  (DCCCD)</t>
  </si>
  <si>
    <t xml:space="preserve">Cisco Junior College </t>
  </si>
  <si>
    <t>Coastal Bend College</t>
  </si>
  <si>
    <t>College of the Mainland</t>
  </si>
  <si>
    <t>El Centro College  (DCCCD)</t>
  </si>
  <si>
    <t xml:space="preserve">Grayson County College </t>
  </si>
  <si>
    <t>Hill College</t>
  </si>
  <si>
    <t>Howard College (HCJCD)</t>
  </si>
  <si>
    <t xml:space="preserve">Kilgore College </t>
  </si>
  <si>
    <t>Reciprocity agreements are in effect with TN, OH, WV, IL, and IN for residents of specific counties and for specific institutions.</t>
  </si>
  <si>
    <t>There is no system wide policy relating to restricting all or a portion of tuition and fees revenue to capital projects. The state provides support for E&amp;G capital projects approved by the General Assembly.</t>
  </si>
  <si>
    <t>Management Boards for each system set tuition subject to approval by two-thirds of the legislature pursuant to state constitutional requirements. Act 1117 of 2001 allows annual increases to 3% in tuition with approval of The Joint Committee in the Budget, this state policy is in effect until June 2005.</t>
  </si>
  <si>
    <t>Board of Regents' funding policy is that "mandatory tuition and fees" should be set at rates which result in self-generated revenue constituting 30% of four-year schools' financial base and 25% of two-year schools' financial base. Non-resident tuition and fees are currently required by law to be set at the average SREB rate, by category of school, excluding Louisiana.</t>
  </si>
  <si>
    <t>Non-resident fees are waived for students in the SREB Academic Common Market program. No other statewide policy.</t>
  </si>
  <si>
    <t>Specific institutions have established tuition reciprocity agreements.</t>
  </si>
  <si>
    <t>No statewide policy. Varies by institution.</t>
  </si>
  <si>
    <t>Individual institution governing boards.</t>
  </si>
  <si>
    <t>some</t>
  </si>
  <si>
    <t>207670</t>
  </si>
  <si>
    <t>Carl Albert State College</t>
  </si>
  <si>
    <t>206923</t>
  </si>
  <si>
    <t xml:space="preserve">Connors State College </t>
  </si>
  <si>
    <t>206996</t>
  </si>
  <si>
    <t xml:space="preserve">Eastern Oklahoma State College </t>
  </si>
  <si>
    <t>207050</t>
  </si>
  <si>
    <t xml:space="preserve">Murray State College </t>
  </si>
  <si>
    <t>207236</t>
  </si>
  <si>
    <t xml:space="preserve">Northeastern Oklahoma A &amp; M College </t>
  </si>
  <si>
    <t>207290</t>
  </si>
  <si>
    <t>Redlands Community College</t>
  </si>
  <si>
    <t>207069</t>
  </si>
  <si>
    <t xml:space="preserve">Seminole State College </t>
  </si>
  <si>
    <t>207740</t>
  </si>
  <si>
    <t xml:space="preserve">Western Oklahoma State College </t>
  </si>
  <si>
    <t>Clemson University</t>
  </si>
  <si>
    <t>University of South Carolina-Columbia</t>
  </si>
  <si>
    <t xml:space="preserve">Winthrop University </t>
  </si>
  <si>
    <t>College of Charleston</t>
  </si>
  <si>
    <t xml:space="preserve">The Citadel, the Military College of South Carolina </t>
  </si>
  <si>
    <t xml:space="preserve">Francis Marion University </t>
  </si>
  <si>
    <t>Lander University</t>
  </si>
  <si>
    <t xml:space="preserve">South Carolina State University </t>
  </si>
  <si>
    <t>Coastal Carolina University</t>
  </si>
  <si>
    <t>University of South Carolina-Aiken</t>
  </si>
  <si>
    <t xml:space="preserve">Greenville Technical College </t>
  </si>
  <si>
    <t xml:space="preserve">Midlands Technical College </t>
  </si>
  <si>
    <t xml:space="preserve">Trident Technical College </t>
  </si>
  <si>
    <t xml:space="preserve">Central Carolina Technical College </t>
  </si>
  <si>
    <t xml:space="preserve">Florence-Darlington Technical College </t>
  </si>
  <si>
    <t xml:space="preserve">Horry-Georgetown Technical College </t>
  </si>
  <si>
    <t xml:space="preserve">Piedmont Technical College </t>
  </si>
  <si>
    <t xml:space="preserve">Spartanburg Technical College </t>
  </si>
  <si>
    <t xml:space="preserve">Tri-County Technical College </t>
  </si>
  <si>
    <t xml:space="preserve">York Technical College </t>
  </si>
  <si>
    <t xml:space="preserve">Aiken Technical College </t>
  </si>
  <si>
    <t xml:space="preserve">Denmark Technical College </t>
  </si>
  <si>
    <t>No statewide policy.</t>
  </si>
  <si>
    <t>Board for Institutions of Higher Learning</t>
  </si>
  <si>
    <t>Credit hour up to 12 hours. Single rate for 12-19 hours for 7 of 8 institutions. Credit hour over 19 hours.</t>
  </si>
  <si>
    <t>There are no formal tuition reciprocity agreements in force.</t>
  </si>
  <si>
    <t>No restrictions placed on tuition and fee revenue.</t>
  </si>
  <si>
    <t>Local Boards of Trustees</t>
  </si>
  <si>
    <t>State statutes do not allow for tuition waivers, reductions or remissions of out-of-state fees.</t>
  </si>
  <si>
    <t>No limits. However, out-of-state enrollment has not exceeded 2.7% over the past five years.</t>
  </si>
  <si>
    <t>University Board of Governors</t>
  </si>
  <si>
    <t>Wake Technical Community College</t>
  </si>
  <si>
    <t>Alamance Community College</t>
  </si>
  <si>
    <t>Blue Ridge Community College</t>
  </si>
  <si>
    <t>Caldwell Community College  &amp; Technical Institute</t>
  </si>
  <si>
    <t>Catawba Valley Community College</t>
  </si>
  <si>
    <t>Cleveland Community College</t>
  </si>
  <si>
    <t xml:space="preserve">Coastal Carolina Community College </t>
  </si>
  <si>
    <t>College of the Albemarle</t>
  </si>
  <si>
    <t xml:space="preserve">Craven Community College </t>
  </si>
  <si>
    <t xml:space="preserve">Davidson County Community College </t>
  </si>
  <si>
    <t>Durham Technical Community College</t>
  </si>
  <si>
    <t>Edgecombe Community College</t>
  </si>
  <si>
    <t xml:space="preserve">Gaston College </t>
  </si>
  <si>
    <t>Johnston Community College</t>
  </si>
  <si>
    <t xml:space="preserve">Lenoir Community College </t>
  </si>
  <si>
    <t xml:space="preserve">Mitchell Community College </t>
  </si>
  <si>
    <t>Nash Community College</t>
  </si>
  <si>
    <t>Nonresident admissions limited to 18% of first-time freshmen at each institution with the exceptions of North Carolina School of the Arts (50%) and the engineering program at North Carolina Agricultural &amp; Technical State University.</t>
  </si>
  <si>
    <t>General Assembly and the State Board of Community Colleges within policies established by the General Assembly.</t>
  </si>
  <si>
    <t>Tuition based on budgetary needs of the system. Out-of-state students at community colleges pay the full cost of instruction.</t>
  </si>
  <si>
    <t>L.E. Fletcher Technical Community College</t>
  </si>
  <si>
    <t xml:space="preserve">Garrett College </t>
  </si>
  <si>
    <t xml:space="preserve">Oklahoma State University-Oklahoma City </t>
  </si>
  <si>
    <t xml:space="preserve">Concord University </t>
  </si>
  <si>
    <t xml:space="preserve">Fairmont State University </t>
  </si>
  <si>
    <t xml:space="preserve">Shepherd University </t>
  </si>
  <si>
    <t xml:space="preserve">West Virginia State University </t>
  </si>
  <si>
    <t>Marshall Community &amp; Technical College</t>
  </si>
  <si>
    <t>Non-resident students should pay 100% of instructional costs at 2-year institutions.</t>
  </si>
  <si>
    <t xml:space="preserve">A community college board of trustees that has a service area that borders another state may implement a plan for a differential out-of-state fee.
</t>
  </si>
  <si>
    <t>Higher Education Coordinating Board sets tuition and fee revenue expectations; institutions and local boards determine amount of tuition.</t>
  </si>
  <si>
    <t>Not by policy. Higher Education Coordinating Board sets tuition and fee expectations. If non-resident fee is waived, institution foregoes that revenue. Non-resident fees are waived for students in the SREB Academic Common Market program.</t>
  </si>
  <si>
    <t>The pricing structure is determined by the individual boards. Most institutions use a flat rate for full-time students taking up to 15-18 hours a semester. Currently, only 2 four-year institutions and the community college system use a cost per credit hour structure for all students.</t>
  </si>
  <si>
    <t>Non-resident tuition may be waived for graduate assistants. Students (undergraduate or graduate) who are TN state employees, children of state employees, or children of TN tuition discount. At 2-year institutions, fee waivers are limited to 3% of FTE. Non-resident fees are waived for students in the SREB Academic Common Market program.</t>
  </si>
  <si>
    <t>No enrollment cap for 4-year institutions.</t>
  </si>
  <si>
    <t xml:space="preserve">Reciprocity agreements with Kentucky exist for particular TN institutions. </t>
  </si>
  <si>
    <t>Institutionally determined within 5% limit (i.e., the number of waivers should equal 5% of the FTE undergraduate enrollment of the institution for the fall term of the immediately preceding academic year); however, this would apply to both resident and non-resident students. Metro fees exist for non-resident students in selected counties in bordering states. There is a statute on reciprocity which guides the development of agreements, but no policy per se. (Cross reference question on reciprocity.) Non-resident fees are waived for students in the SREB Academic Common Market program.</t>
  </si>
  <si>
    <t>There are tuition reciprocity agreements involving selected counties and institutions in KY, OH, MD, and VA.</t>
  </si>
  <si>
    <t>Northeastern Technical College</t>
  </si>
  <si>
    <t xml:space="preserve">Orangeburg-Calhoun Technical College </t>
  </si>
  <si>
    <t>Technical College of the Low Country</t>
  </si>
  <si>
    <t>University of South Carolina-Beaufort</t>
  </si>
  <si>
    <t>University of South Carolina-Lancaster</t>
  </si>
  <si>
    <t>University of South Carolina-Salkehatchie</t>
  </si>
  <si>
    <t>University of South Carolina-Sumter</t>
  </si>
  <si>
    <t xml:space="preserve">Enterprise-Ozark Community College </t>
  </si>
  <si>
    <t xml:space="preserve">Lurleen B. Wallace Community College </t>
  </si>
  <si>
    <t>N/A</t>
  </si>
  <si>
    <t xml:space="preserve">Trenholm State Technical College </t>
  </si>
  <si>
    <t>University of Arkansas, Fayetteville</t>
  </si>
  <si>
    <t>Arkansas Northeastern College</t>
  </si>
  <si>
    <t>National Park Community College</t>
  </si>
  <si>
    <t xml:space="preserve">Miami-Dade College </t>
  </si>
  <si>
    <t xml:space="preserve">Okaloosa-Walton College </t>
  </si>
  <si>
    <t xml:space="preserve">Chipola College </t>
  </si>
  <si>
    <t>*In Virginia, Out-of-State Veterinary Medicine charges include a regional capitation fee of $24,629.</t>
  </si>
  <si>
    <t>WV</t>
  </si>
  <si>
    <t>VA</t>
  </si>
  <si>
    <t>GA</t>
  </si>
  <si>
    <t>SC</t>
  </si>
  <si>
    <t>Undergraduate</t>
  </si>
  <si>
    <t>Graduate</t>
  </si>
  <si>
    <t>Osteopathic Medicine</t>
  </si>
  <si>
    <t>IPEDS</t>
  </si>
  <si>
    <t>Who has the authority to set tuition and fee rates and establish policies?</t>
  </si>
  <si>
    <t>What method or guideline is used to set tuition rates?</t>
  </si>
  <si>
    <t>Are tuition and fee rates stair-stepped or by the credit hour?</t>
  </si>
  <si>
    <t>Are there policies on waiving, reducing or remitting non-resident tuition?</t>
  </si>
  <si>
    <t>Are there caps or limits placed on non-resident enrollment?</t>
  </si>
  <si>
    <t>Are there tuition reciprocity agreements? Please describe.</t>
  </si>
  <si>
    <t>Do you participate in the SREB Academic Common Market?</t>
  </si>
  <si>
    <t>*In Virginia, mandatory fees vary by institution up to $161 per academic year, and are not included.</t>
  </si>
  <si>
    <t>Is there a special electronic delivery tuition rate distinguished from regular in-state and out-of-state rates?</t>
  </si>
  <si>
    <t>MEDIANS</t>
  </si>
  <si>
    <t>KY</t>
  </si>
  <si>
    <t>Median Annual Tuition and Required Fees</t>
  </si>
  <si>
    <t>Full-Time In-State Undergraduate Students</t>
  </si>
  <si>
    <t xml:space="preserve">Four-Year </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</si>
  <si>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</si>
  <si>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</si>
  <si>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</si>
  <si>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</si>
  <si>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</si>
  <si>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</si>
  <si>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</si>
  <si>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</si>
  <si>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</si>
  <si>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</si>
  <si>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</si>
  <si>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</si>
  <si>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</si>
  <si>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</si>
  <si>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</si>
  <si>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Full-Time Out-of-State Undergraduate Students</t>
  </si>
  <si>
    <t>Full-Time In-State Graduate Students</t>
  </si>
  <si>
    <t>University of South Carolina-Union</t>
  </si>
  <si>
    <t xml:space="preserve">Willamsburg Technical College </t>
  </si>
  <si>
    <t>Medical University of South Carolina</t>
  </si>
  <si>
    <t>University of Tennessee, Knoxville</t>
  </si>
  <si>
    <t>University of Memphis</t>
  </si>
  <si>
    <t xml:space="preserve">East Tennessee State University </t>
  </si>
  <si>
    <t xml:space="preserve">Middle Tennessee State University </t>
  </si>
  <si>
    <t xml:space="preserve">Tennessee State University </t>
  </si>
  <si>
    <t>University of Tennessee at Chattanooga</t>
  </si>
  <si>
    <t xml:space="preserve">Austin Peay State University </t>
  </si>
  <si>
    <t>Fairmont State Community &amp; Technical College</t>
  </si>
  <si>
    <t xml:space="preserve">Tennessee Technological University </t>
  </si>
  <si>
    <t>University of Tennessee at Martin</t>
  </si>
  <si>
    <t xml:space="preserve">Chattanooga State Technical Community College </t>
  </si>
  <si>
    <t>219824A</t>
  </si>
  <si>
    <t>Pellissippi State Technical Community College</t>
  </si>
  <si>
    <t>Southwest Tennessee Community College</t>
  </si>
  <si>
    <t xml:space="preserve">Cleveland State Community College </t>
  </si>
  <si>
    <t>Two institutions have "reciprocity" agreements with adjoining counties in other states - USC-Aiken and Aiken T.C. have agreements with adjoining counties in Georgia. Winthrop has a "partnership" agreement for students in adjoining NC counties for its EMBA program, but it is not reciprocal for SC students attending NC institutions.</t>
  </si>
  <si>
    <t>Historically, in-state undergraduate tuition has been set at 25% of the cost of instruction, with out-of-state students paying the full cost. There has been little variation in tuition and fees across universities because of system-wide limits set by the Legislature on tuition increases.</t>
  </si>
  <si>
    <t>With Bach-    elor's</t>
  </si>
  <si>
    <t>with Bach- elor's</t>
  </si>
  <si>
    <t>2003-04</t>
  </si>
  <si>
    <t>"NA" indicates not applicable. There is no institution of this type in the state.</t>
  </si>
  <si>
    <t>none</t>
  </si>
  <si>
    <t>Institutions may charge special tuition rates for distance education courses and programs. If the rate is either less than the institution's in-state tuition rate or greater than its out-of-state tuition rate, Board approval is required.</t>
  </si>
  <si>
    <t>No statewide policy. USM and MSU have policy that resident tuition and fees be set between 30-45% of the cost of education. Nonresident tuition and fees should be at least 100% of cost of education.</t>
  </si>
  <si>
    <t>Texas Higher Education Coordinating Board</t>
  </si>
  <si>
    <t>Kentucky Council on Postsecondary Education</t>
  </si>
  <si>
    <t>The Council has statutory responsibility for setting tuition. The Council allows individual universities and the Kentucky Community and Technical College System office to set tuition within guidelines approved by the Council on Postsecondary Education.</t>
  </si>
  <si>
    <t xml:space="preserve">There are no state guidelines on this matter. Alabama has no state appropriation specifically for capital expenditures, therefore institutions must use tuition &amp; fee revenue to fund capital expenditures or find their on source of funding, including floating their own bond issues. </t>
  </si>
  <si>
    <t>No statewide policy. Resident tuition target is 25%-30% of instructional cost; non-resident tuition should be 3 times the resident rate.</t>
  </si>
  <si>
    <t>No limits.</t>
  </si>
  <si>
    <t>Individual institutions set policies. Non-resident fees are waived for students in the SREB Academic Common Market program.</t>
  </si>
  <si>
    <t>Sample formula for regional figures-- Four-Year 1, old undg. in-state: =MEDIAN('Tuition &amp; Fees Data'!E6:E8,'Tuition &amp; Fees Data'!E84:E86,'Tuition &amp; Fees Data'!E123:E124,'Tuition &amp; Fees Data'!E191,'Tuition &amp; Fees Data'!E228,'Tuition &amp; Fees Data'!E297,'Tuition &amp; Fees Data'!E326,'Tuition &amp; Fees Data'!E350:E351,'Tuition &amp; Fees Data'!E424:E425,'Tuition &amp; Fees Data'!E451:E452,'Tuition &amp; Fees Data'!E484,'Tuition &amp; Fees Data'!E534:E538,'Tuition &amp; Fees Data'!E644:E645,'Tuition &amp; Fees Data'!E683)</t>
  </si>
  <si>
    <t xml:space="preserve">Two-Year </t>
  </si>
  <si>
    <t>size unknown</t>
  </si>
  <si>
    <t>All 2yr</t>
  </si>
  <si>
    <t>Alabama Commission on Higher Education</t>
  </si>
  <si>
    <t>Florida Division of Colleges and Universities</t>
  </si>
  <si>
    <t>No reciprocity agreements, but UWF has authority to charge a reduced non-resident tuition to students whose residence is in AL counties within 50 miles of the FL border.</t>
  </si>
  <si>
    <t>Table 98</t>
  </si>
  <si>
    <t>Table 99</t>
  </si>
  <si>
    <t>Table 100</t>
  </si>
  <si>
    <t>Part of the required fees assessed against each credit hour are two building fees which together amount to $4.76 per credit hour. No other part of the tuition and required fees is devoted to capital funding. The universities, community colleges and K-12 share funds made available from a gross receipts tax on utilities; these funds are allocated for capital projects. Also, a small amount of General Revenue or Lottery funds may be allocated for capital projects.</t>
  </si>
  <si>
    <t>Arkansas Department of Higher Education</t>
  </si>
  <si>
    <t>Not reported.</t>
  </si>
  <si>
    <t xml:space="preserve">No statewide policy. </t>
  </si>
  <si>
    <t>To what extent must tuition and fee revenue be devoted to capital funding? Are there other sources of capital funding?</t>
  </si>
  <si>
    <t>Georgia Department of Technical and Adult Education</t>
  </si>
  <si>
    <t>The University System of Georgia</t>
  </si>
  <si>
    <t>Old</t>
  </si>
  <si>
    <t>New</t>
  </si>
  <si>
    <t>% Change</t>
  </si>
  <si>
    <t>Undergraduate In-State</t>
  </si>
  <si>
    <t>Undergraduate Out-of-State</t>
  </si>
  <si>
    <t>Graduate In-State</t>
  </si>
  <si>
    <t>Graduate Out-of-State</t>
  </si>
  <si>
    <t>Law In-State</t>
  </si>
  <si>
    <t>Law Out-of-State</t>
  </si>
  <si>
    <t>Medicine In-State</t>
  </si>
  <si>
    <t>Medicine Out-of-State</t>
  </si>
  <si>
    <t>Dentistry In-State</t>
  </si>
  <si>
    <t>Dentistry Out-of-State</t>
  </si>
  <si>
    <t xml:space="preserve">Northeast Alabama State Community College </t>
  </si>
  <si>
    <t xml:space="preserve">Snead State Community College </t>
  </si>
  <si>
    <t xml:space="preserve">Bessemer State Technical College </t>
  </si>
  <si>
    <t xml:space="preserve">J.F. Drake State Technical College </t>
  </si>
  <si>
    <t xml:space="preserve">J.F. Ingram State Technical College </t>
  </si>
  <si>
    <t xml:space="preserve">Reid State Technical College </t>
  </si>
  <si>
    <t>Arkansas State University</t>
  </si>
  <si>
    <t>University of Arkansas at Little Rock</t>
  </si>
  <si>
    <t xml:space="preserve">University of Central Arkansas </t>
  </si>
  <si>
    <t xml:space="preserve">Arkansas Tech University </t>
  </si>
  <si>
    <t xml:space="preserve">Henderson State University </t>
  </si>
  <si>
    <t>Southern Arkansas University</t>
  </si>
  <si>
    <t>University of Arkansas at Monticello</t>
  </si>
  <si>
    <t>University of Arkansas at Pine Bluff</t>
  </si>
  <si>
    <t>Arkansas State University-Beebe</t>
  </si>
  <si>
    <t xml:space="preserve">Northwest Arkansas Community College </t>
  </si>
  <si>
    <t>Pulaski Technical College</t>
  </si>
  <si>
    <t>University of Arkansas--Fort Smith</t>
  </si>
  <si>
    <t>Arkansas State University Mountain Home</t>
  </si>
  <si>
    <t>Arkansas State University-Newport</t>
  </si>
  <si>
    <t>Black River Technical College</t>
  </si>
  <si>
    <t>Cossatot Community College of the University of Arkansas</t>
  </si>
  <si>
    <t xml:space="preserve">East Arkansas Community College </t>
  </si>
  <si>
    <t xml:space="preserve">Mid-South Community College </t>
  </si>
  <si>
    <t>North Arkansas College</t>
  </si>
  <si>
    <t xml:space="preserve">Ouachita Technical College </t>
  </si>
  <si>
    <t xml:space="preserve">Ozarka College </t>
  </si>
  <si>
    <t>Tuition and Related Policies, SREB States, 2004-05</t>
  </si>
  <si>
    <t>Tuition and Related Policies, SREB States, 2004-05 (cont.)</t>
  </si>
  <si>
    <t>Florida State Board for Education subject to being superseded by the Legislature.</t>
  </si>
  <si>
    <t>Oklahoma Department of Career and Technology Education</t>
  </si>
  <si>
    <t>Phillips Community College of the Univ of Arkansas</t>
  </si>
  <si>
    <t xml:space="preserve">Rich Mountain Community College </t>
  </si>
  <si>
    <t>South Arkansas Community College</t>
  </si>
  <si>
    <t>Southeast Arkansas College</t>
  </si>
  <si>
    <t>Southern Arkansas University Tech</t>
  </si>
  <si>
    <t>University of Arkansas Community College at Batesville</t>
  </si>
  <si>
    <t>University of Arkansas Community College at Hope</t>
  </si>
  <si>
    <t>University of Arkansas Community College at Morrilton</t>
  </si>
  <si>
    <t>or College</t>
  </si>
  <si>
    <t>Technical Institute</t>
  </si>
  <si>
    <t>Table 97</t>
  </si>
  <si>
    <t xml:space="preserve">Virginia Western Community College </t>
  </si>
  <si>
    <t xml:space="preserve">Blue Ridge Community College </t>
  </si>
  <si>
    <t xml:space="preserve">D.S. Lancaster Community College </t>
  </si>
  <si>
    <t xml:space="preserve">Eastern Shore Community College  </t>
  </si>
  <si>
    <t xml:space="preserve">Patrick Henry Community College </t>
  </si>
  <si>
    <t xml:space="preserve">Paul D. Camp Community College  </t>
  </si>
  <si>
    <t xml:space="preserve">Rappahannock Community College  </t>
  </si>
  <si>
    <t xml:space="preserve">Richard Bland College </t>
  </si>
  <si>
    <t xml:space="preserve">Virginia Highlands Community College </t>
  </si>
  <si>
    <t xml:space="preserve">Wytheville Community College </t>
  </si>
  <si>
    <t>Virginia Military Institute</t>
  </si>
  <si>
    <t>West Virginia University</t>
  </si>
  <si>
    <t xml:space="preserve">Marshall University </t>
  </si>
  <si>
    <t xml:space="preserve">Bluefield State College </t>
  </si>
  <si>
    <t xml:space="preserve">Glenville State College </t>
  </si>
  <si>
    <t xml:space="preserve">West Liberty State College </t>
  </si>
  <si>
    <t>West Virginia University Institute of Technology</t>
  </si>
  <si>
    <t>West Virginia University at Parkersburg</t>
  </si>
  <si>
    <t>Potomac State College of West Virginia University</t>
  </si>
  <si>
    <t>West Virginia Northern Community College</t>
  </si>
  <si>
    <t>West Virginia School of Osteopathic Medicine</t>
  </si>
  <si>
    <t>The Board of Governors has authority to set tuition and fees but has deferred to the Legislature and not yet exercised that authority.</t>
  </si>
  <si>
    <t>Each university board of trustees has the authority to waive tuition for purposes which support &amp; enhance the mission of the university. The waivers must be based on policies adopted by the boards of trustees.</t>
  </si>
  <si>
    <t>No, although universities have some discretion in setting tuition and fees for programs delivered exclusively through alternative means.</t>
  </si>
  <si>
    <t>Both.</t>
  </si>
  <si>
    <t>2004-05</t>
  </si>
  <si>
    <t xml:space="preserve">      N/A</t>
  </si>
  <si>
    <t xml:space="preserve">Board policy allows individual institutions to determine fee waiver amounts. These are usually called "scholarships" or grants. Policy also allows institutions to waive the non-resident portion of fees for children of alumni who meet certain academic criteria, students on athletic scholarships, and graduate students with assistantships. Non-resident fees are waived for students in the SREB Academic Common Market program. </t>
  </si>
  <si>
    <t>The Commissioner is authorized to approve exceptions to the tuition policy for out of state residence students, provided:
(i) A written application is submitted by the institution.
(ii) There is evidence of a written reciprocity agreement with appropriate institutions in the adjoining state.
(iii) No reciprocity arrangement shall reduce the costs of tuition fees for an out-of-state student to less than that paid by residents of Georgia.</t>
  </si>
  <si>
    <t>There are no general state statutes or Board policies that require tuition and fee revenues to be devoted to capital funding. Certain fees authorized by the Legislature for individual institutions have been specifically dedicated for facility use and maintenance. Other sources of capital funding are: general obligation bonds, donations, and self-generated from Federal grants/contracts.</t>
  </si>
  <si>
    <t>Board sets general tuition by level of institution. Total non-resident tuition and fees should be no less than the system average amount appropriated per student for education and general expenses.</t>
  </si>
  <si>
    <t>Each institution will establish its own tuition rates based on the following guidelines: (1) Rates may be differentiated by factors such as residency status, program level (e.g. undergraduate, graduate, etc.), and program (e.g. business and biology), and may be set on a per credit hour basis. (2) Each institution must submit its tuition rates and projected tuition and fees revenue to the Council, and the anticipated tuition and fees revenue should be consistent with the Council's operating funding guidelines.</t>
  </si>
  <si>
    <t xml:space="preserve">Gordon Cooper Technology Center                   </t>
  </si>
  <si>
    <t xml:space="preserve">Great Plains Technology Center                    </t>
  </si>
  <si>
    <t xml:space="preserve">Green Country Technology Center                   </t>
  </si>
  <si>
    <t xml:space="preserve">High Plains Technology Center                     </t>
  </si>
  <si>
    <t xml:space="preserve">Indian Capital Technology Center-Muskogee         </t>
  </si>
  <si>
    <t xml:space="preserve">Indian Capital Technology Center-Sallisaw         </t>
  </si>
  <si>
    <t xml:space="preserve">Indian Capital Technology Center-Stilwell         </t>
  </si>
  <si>
    <t xml:space="preserve">Indian Capital Technology Center-Tahlequah        </t>
  </si>
  <si>
    <t xml:space="preserve">Owensboro Community and Technical College </t>
  </si>
  <si>
    <t>Southeast Kentucky Community and Technical College</t>
  </si>
  <si>
    <t>West Kentucky Community and Technical College</t>
  </si>
  <si>
    <t xml:space="preserve">Maysville Community and Technical College </t>
  </si>
  <si>
    <t xml:space="preserve">Wes Watkins Technology Center                     </t>
  </si>
  <si>
    <t xml:space="preserve">Western Technology Center                         </t>
  </si>
  <si>
    <t>University of South Carolina-Upstate</t>
  </si>
  <si>
    <t xml:space="preserve">Individual institution boards. </t>
  </si>
  <si>
    <t>Each institution establishes its policies. The number of waivers must be reported to the Commission on Higher Education. Waivers are limited to 4% of the total student body and include military personnel and their dependents, employees and their dependents, retired employees and their dependents, students participating in the SREB Academic Common Market, students receiving fellowships, students with scholarships approved by Board of Trustees, students falling under reciprocity agreements approved by the General Assembly, non-resident aliens in approved VISA classifications and all graduate assistants.</t>
  </si>
  <si>
    <t xml:space="preserve">University of Mary Washington </t>
  </si>
  <si>
    <t>Boards of Visitors at individual institutions.</t>
  </si>
  <si>
    <t>Mid-Year Increases in Tuition and Required Fees</t>
  </si>
  <si>
    <t>Local boards set general tuition and required fees based on the level of state resources for educational and supportive services. Local Boards are also authorized to prescribe the amount of fees for non-resident tuition provided that total fees for non-residents shall not be less than the average cost per student from state appropriated funds.</t>
  </si>
  <si>
    <t xml:space="preserve"> </t>
  </si>
  <si>
    <t>University of Virginia</t>
  </si>
  <si>
    <t xml:space="preserve">Virginia Tech </t>
  </si>
  <si>
    <t>College of William &amp; Mary</t>
  </si>
  <si>
    <t xml:space="preserve">George Mason University </t>
  </si>
  <si>
    <t xml:space="preserve">Old Dominion University </t>
  </si>
  <si>
    <t xml:space="preserve">Virginia Commonwealth University  </t>
  </si>
  <si>
    <t xml:space="preserve">James Madison University  </t>
  </si>
  <si>
    <t>Radford University</t>
  </si>
  <si>
    <t>Louisiana Technical College-Gulf Area Campus</t>
  </si>
  <si>
    <t>Louisiana Technical College-Hammond Area Campus</t>
  </si>
  <si>
    <t>Louisiana Technical College-Huey P. Long Campus</t>
  </si>
  <si>
    <t>Louisiana Technical College-Jefferson Campus</t>
  </si>
  <si>
    <t>Louisiana Technical College-Jumonville Memorial Campus</t>
  </si>
  <si>
    <t>Louisiana Technical College-Lafayette Campus</t>
  </si>
  <si>
    <t>Louisiana Technical College-Lafourche Campus</t>
  </si>
  <si>
    <t>Louisiana Technical College-Lamar Salter Campus</t>
  </si>
  <si>
    <t>Louisiana Technical College-Mansfield Campus</t>
  </si>
  <si>
    <t xml:space="preserve">Danville Community College </t>
  </si>
  <si>
    <t>Germanna Community College</t>
  </si>
  <si>
    <t>John Tyler Community College</t>
  </si>
  <si>
    <t xml:space="preserve">Lord Fairfax Community College  </t>
  </si>
  <si>
    <t xml:space="preserve">Mountain Empire Community College  </t>
  </si>
  <si>
    <t xml:space="preserve">New River Community College </t>
  </si>
  <si>
    <t xml:space="preserve">Piedmont Virginia Community College </t>
  </si>
  <si>
    <t xml:space="preserve">Southside Virginia Community College  </t>
  </si>
  <si>
    <t xml:space="preserve">Southwest Virginia Community College </t>
  </si>
  <si>
    <t>Louisiana Technical College-Ascension Campus</t>
  </si>
  <si>
    <t xml:space="preserve">Benjamin Franklin Vocational Center </t>
  </si>
  <si>
    <t xml:space="preserve">Boone County Career &amp; Technical Center </t>
  </si>
  <si>
    <t>Cabell County Vocational-Technical Center</t>
  </si>
  <si>
    <t xml:space="preserve">Carver Vocational Center </t>
  </si>
  <si>
    <t xml:space="preserve">Fred W. Eberle Technical Center </t>
  </si>
  <si>
    <t>James Rumsey Technical Institute</t>
  </si>
  <si>
    <t>Marion County Vocational-Technical Center</t>
  </si>
  <si>
    <t xml:space="preserve">McDowell County Vocational-Technical Center </t>
  </si>
  <si>
    <t>Mercer County Vocational-Technical Center</t>
  </si>
  <si>
    <t xml:space="preserve">Mineral County Vocational-Technical Center </t>
  </si>
  <si>
    <t xml:space="preserve">Monongalia County Technical Education Center </t>
  </si>
  <si>
    <t>Putnam County Vocational-Technical Center</t>
  </si>
  <si>
    <t>Raleigh County Academy of Careers and Technology</t>
  </si>
  <si>
    <t>Ralph R. Willis Vocational-Technical Center</t>
  </si>
  <si>
    <t>Roane-Jackson Technical Center</t>
  </si>
  <si>
    <t>Wood County Vocational-Technical Center</t>
  </si>
  <si>
    <t xml:space="preserve">Garnet Vocational Center </t>
  </si>
  <si>
    <t>There is no formal policy that requires use of tuition and fee revenue for capital funding. State general obligation bonds, major repair and rehabilitation funds (formula-generated), auxiliary enterprise funds, indirect cost recoveries and interest income from investments are other sources of capital funding.</t>
  </si>
  <si>
    <t>Department of Technical and Adult Education</t>
  </si>
  <si>
    <t>Louisiana Technical College-Shreveport/Bossier Campus</t>
  </si>
  <si>
    <t>Louisiana Technical College-Sidney N. Collier Campus</t>
  </si>
  <si>
    <t>Louisiana Technical College-Slidell Campus</t>
  </si>
  <si>
    <t>Louisiana Technical College-Sullivan Campus</t>
  </si>
  <si>
    <t>Louisiana Technical College-T.H. Harris Campus</t>
  </si>
  <si>
    <t>Louisiana Technical College-Tallulah Campus</t>
  </si>
  <si>
    <t>Louisiana Technical College-Teche Area Campus</t>
  </si>
  <si>
    <t>Louisiana Technical College-West Jefferson Campus</t>
  </si>
  <si>
    <t>Louisiana Technical College-Westside Campus</t>
  </si>
  <si>
    <t>Louisiana Technical College-Young Memorial Campus</t>
  </si>
  <si>
    <t>Louisiana State University Health Sciences Center</t>
  </si>
  <si>
    <t xml:space="preserve">Gainesville State College </t>
  </si>
  <si>
    <t>A capital fee is charged to out-of-state students for debt service on bonds issued under the 21st Century Program. However, in general, there are no guidelines or formula relating to student revenue and capital funding. The amount of fee revenue set aside for capital projects or debt service varies by institution. Virginia funds capital outlay projects through state (general fund) appropriations, nongeneral fund (student revenue, gifts and grants, contributions by localities, etc.) appropriations and state bonding.</t>
  </si>
  <si>
    <t>Community &amp; Technical College of Shepherd</t>
  </si>
  <si>
    <t>Eastern West Virginia Community &amp; Technical Coll</t>
  </si>
  <si>
    <t>New River Community &amp; Technical College</t>
  </si>
  <si>
    <t>Southern West Virginia Community &amp; Technical Coll</t>
  </si>
  <si>
    <t>WV State Community &amp; Technical College</t>
  </si>
  <si>
    <t xml:space="preserve">West Virginia Higher Education Policy Commission and the WV Council for Community &amp; Technical College Education </t>
  </si>
  <si>
    <t>Institutional governing boards with final approval of the West Virginia Higher Education Policy Commission and the WV Council for Community &amp; Technical College Education.</t>
  </si>
  <si>
    <t xml:space="preserve">By the credit hour, but capped at 12 credit hours for undergraduate students and 9 credit hours for graduate students. </t>
  </si>
  <si>
    <t>There is no special/unique rate.</t>
  </si>
  <si>
    <t>University of Tennessee Health Science Center</t>
  </si>
  <si>
    <t>Four-Year 1</t>
  </si>
  <si>
    <t>Four-Year 2</t>
  </si>
  <si>
    <t>Four-Year 3</t>
  </si>
  <si>
    <t>Four-Year 4</t>
  </si>
  <si>
    <t>Four-Year 5</t>
  </si>
  <si>
    <t>Four-Year 6</t>
  </si>
  <si>
    <t>Two-Year w/ bachs (7)</t>
  </si>
  <si>
    <t>Two-Year 1 (8)</t>
  </si>
  <si>
    <t>Two-Year 2 (9)</t>
  </si>
  <si>
    <t>Community College of Baltimore County</t>
  </si>
  <si>
    <t>Montgomery College</t>
  </si>
  <si>
    <t xml:space="preserve">Prince George's Community College </t>
  </si>
  <si>
    <t>Baltimore City Community College</t>
  </si>
  <si>
    <t>College of Southern Maryland (formerly Charles County CC)</t>
  </si>
  <si>
    <t xml:space="preserve">Frederick Community College </t>
  </si>
  <si>
    <t xml:space="preserve">Harford Community College </t>
  </si>
  <si>
    <t xml:space="preserve">Howard Community College </t>
  </si>
  <si>
    <t>Allegany College of Maryland</t>
  </si>
  <si>
    <t>Carroll Community College</t>
  </si>
  <si>
    <t xml:space="preserve">Cecil Community College </t>
  </si>
  <si>
    <t xml:space="preserve">Chesapeake College </t>
  </si>
  <si>
    <t xml:space="preserve">Hagerstown Community College </t>
  </si>
  <si>
    <t xml:space="preserve">Wor-Wic Community College </t>
  </si>
  <si>
    <t>University of Maryland University College</t>
  </si>
  <si>
    <t xml:space="preserve">University of Maryland, Baltimore </t>
  </si>
  <si>
    <t>Mississippi State University</t>
  </si>
  <si>
    <t>University of Southern Mississippi</t>
  </si>
  <si>
    <t>University of Mississippi</t>
  </si>
  <si>
    <t xml:space="preserve">Jackson State University </t>
  </si>
  <si>
    <t>Alcorn State University</t>
  </si>
  <si>
    <t>Delta State University</t>
  </si>
  <si>
    <t>Mississippi University for Women</t>
  </si>
  <si>
    <t>Mississippi Valley State University</t>
  </si>
  <si>
    <t>University of Mississippi Medical Center</t>
  </si>
  <si>
    <t xml:space="preserve">Hinds Community College </t>
  </si>
  <si>
    <t>Public Institutions, 2004-05</t>
  </si>
  <si>
    <t>Public Two-Year Colleges and Technical Institutes or Colleges, 2004-05</t>
  </si>
  <si>
    <t>Public Four-Year Institutions, 2004-05</t>
  </si>
  <si>
    <t>Full-Time Students, Public Institutions, 2004-05</t>
  </si>
  <si>
    <t xml:space="preserve">Mississippi Gulf Coast Community College </t>
  </si>
  <si>
    <t xml:space="preserve">Copiah-Lincoln Community College </t>
  </si>
  <si>
    <t xml:space="preserve">East Mississippi Community College </t>
  </si>
  <si>
    <t xml:space="preserve">Holmes Community College </t>
  </si>
  <si>
    <t xml:space="preserve">Itawamba Community College </t>
  </si>
  <si>
    <t xml:space="preserve">Jones County Junior College </t>
  </si>
  <si>
    <t xml:space="preserve">Meridian Community College </t>
  </si>
  <si>
    <t xml:space="preserve">Mississippi Delta Community College </t>
  </si>
  <si>
    <t xml:space="preserve">Northeast Mississippi Community College </t>
  </si>
  <si>
    <t>Texas legislature.</t>
  </si>
  <si>
    <t>By credit hour, up to 15 hours. Statute provides an option of single rate for 15 - 18 hours.</t>
  </si>
  <si>
    <t>Randolph Community College</t>
  </si>
  <si>
    <t xml:space="preserve">Northwestern Oklahoma State University </t>
  </si>
  <si>
    <t>207306</t>
  </si>
  <si>
    <t xml:space="preserve">Brevard Community College </t>
  </si>
  <si>
    <t>132693</t>
  </si>
  <si>
    <t xml:space="preserve">Broward Community College </t>
  </si>
  <si>
    <t>132709</t>
  </si>
  <si>
    <t xml:space="preserve">Daytona Beach Community College </t>
  </si>
  <si>
    <t>133386</t>
  </si>
  <si>
    <t xml:space="preserve">Edison Community College </t>
  </si>
  <si>
    <t>133508</t>
  </si>
  <si>
    <t>Florida Community College at Jacksonville</t>
  </si>
  <si>
    <t>133702</t>
  </si>
  <si>
    <t xml:space="preserve">Hillsborough Community College </t>
  </si>
  <si>
    <t>134495</t>
  </si>
  <si>
    <t xml:space="preserve">Indian River Community College </t>
  </si>
  <si>
    <t>134608</t>
  </si>
  <si>
    <t xml:space="preserve">Manatee Community College </t>
  </si>
  <si>
    <t>135391</t>
  </si>
  <si>
    <t>135717</t>
  </si>
  <si>
    <t xml:space="preserve">Palm Beach Community College </t>
  </si>
  <si>
    <t>136358</t>
  </si>
  <si>
    <t xml:space="preserve">Pensacola Junior College </t>
  </si>
  <si>
    <t>136473</t>
  </si>
  <si>
    <t xml:space="preserve">Santa Fe Community College </t>
  </si>
  <si>
    <t>137096</t>
  </si>
  <si>
    <t xml:space="preserve">Seminole Community College </t>
  </si>
  <si>
    <t>137209</t>
  </si>
  <si>
    <t xml:space="preserve">St. Petersburg College </t>
  </si>
  <si>
    <t>137078</t>
  </si>
  <si>
    <t xml:space="preserve">Tallahassee Community College </t>
  </si>
  <si>
    <t>137759</t>
  </si>
  <si>
    <t xml:space="preserve">Valencia Community College </t>
  </si>
  <si>
    <t>138187</t>
  </si>
  <si>
    <t xml:space="preserve">Central Florida Community College </t>
  </si>
  <si>
    <t>132851</t>
  </si>
  <si>
    <t xml:space="preserve">Gulf Coast Community College </t>
  </si>
  <si>
    <t>134343</t>
  </si>
  <si>
    <t>136233</t>
  </si>
  <si>
    <t xml:space="preserve">Pasco-Hernando Community College </t>
  </si>
  <si>
    <t>136400</t>
  </si>
  <si>
    <t xml:space="preserve">Polk Community College </t>
  </si>
  <si>
    <t>136516</t>
  </si>
  <si>
    <t xml:space="preserve">South Florida Community College </t>
  </si>
  <si>
    <t>137315</t>
  </si>
  <si>
    <t xml:space="preserve">St. Johns River Community College </t>
  </si>
  <si>
    <t>137281</t>
  </si>
  <si>
    <t>133021</t>
  </si>
  <si>
    <t xml:space="preserve">Florida Keys Community College </t>
  </si>
  <si>
    <t>133960</t>
  </si>
  <si>
    <t xml:space="preserve">Lake City Community College </t>
  </si>
  <si>
    <t>135160</t>
  </si>
  <si>
    <t xml:space="preserve">Lake-Sumter Community College </t>
  </si>
  <si>
    <t>135188</t>
  </si>
  <si>
    <t xml:space="preserve">North Florida Community College </t>
  </si>
  <si>
    <t>136145</t>
  </si>
  <si>
    <t xml:space="preserve">Florida State University </t>
  </si>
  <si>
    <t>134097</t>
  </si>
  <si>
    <t>University of Florida</t>
  </si>
  <si>
    <t>134130</t>
  </si>
  <si>
    <t xml:space="preserve">University of South Florida </t>
  </si>
  <si>
    <t>137351</t>
  </si>
  <si>
    <t xml:space="preserve">Florida Atlantic University </t>
  </si>
  <si>
    <t>133669</t>
  </si>
  <si>
    <t>Florida International University</t>
  </si>
  <si>
    <t>133951</t>
  </si>
  <si>
    <t xml:space="preserve">University of Central Florida </t>
  </si>
  <si>
    <t>132903</t>
  </si>
  <si>
    <t xml:space="preserve">Florida Agricultural &amp; Mechanical University </t>
  </si>
  <si>
    <t>133650</t>
  </si>
  <si>
    <t>University of North Florida</t>
  </si>
  <si>
    <t>136172</t>
  </si>
  <si>
    <t>University of West Florida</t>
  </si>
  <si>
    <t>138354</t>
  </si>
  <si>
    <t>Florida Gulf Coast University</t>
  </si>
  <si>
    <t>433660</t>
  </si>
  <si>
    <t>New College of Florida</t>
  </si>
  <si>
    <t xml:space="preserve">Georgia State University </t>
  </si>
  <si>
    <t>University of Georgia</t>
  </si>
  <si>
    <t>Georgia Institute of Technology</t>
  </si>
  <si>
    <t>Georgia Southern University</t>
  </si>
  <si>
    <t xml:space="preserve">Albany State University </t>
  </si>
  <si>
    <t>Columbus State University</t>
  </si>
  <si>
    <t>Georgia College and State University</t>
  </si>
  <si>
    <t>Kennesaw State University</t>
  </si>
  <si>
    <t xml:space="preserve">Valdosta State University </t>
  </si>
  <si>
    <t>Armstrong Atlantic State University</t>
  </si>
  <si>
    <t>Augusta State University</t>
  </si>
  <si>
    <t>Fort Valley State University</t>
  </si>
  <si>
    <t>Texas A &amp; M University</t>
  </si>
  <si>
    <t>Texas Tech University</t>
  </si>
  <si>
    <t>University of Houston</t>
  </si>
  <si>
    <t>University of North Texas</t>
  </si>
  <si>
    <t>University of Texas at Austin</t>
  </si>
  <si>
    <t>Texas Woman's University</t>
  </si>
  <si>
    <t>University of Texas at Arlington</t>
  </si>
  <si>
    <t>University of Texas at Dallas</t>
  </si>
  <si>
    <t>Angelo State University</t>
  </si>
  <si>
    <t>Lamar University</t>
  </si>
  <si>
    <t>Midwestern State University</t>
  </si>
  <si>
    <t>Georgia Southwestern State University</t>
  </si>
  <si>
    <t>North Georgia College and State University</t>
  </si>
  <si>
    <t>Savannah State University</t>
  </si>
  <si>
    <t>Clayton College and State University</t>
  </si>
  <si>
    <t xml:space="preserve">Dalton State College </t>
  </si>
  <si>
    <t xml:space="preserve">Macon State College </t>
  </si>
  <si>
    <t xml:space="preserve">Georgia Perimeter College </t>
  </si>
  <si>
    <t xml:space="preserve">Abraham Baldwin Agricultural College </t>
  </si>
  <si>
    <t xml:space="preserve">Darton College </t>
  </si>
  <si>
    <t xml:space="preserve">Gordon College </t>
  </si>
  <si>
    <t>Atlanta Metropolitan College</t>
  </si>
  <si>
    <t xml:space="preserve">Bainbridge College </t>
  </si>
  <si>
    <t>Coastal Georgia College</t>
  </si>
  <si>
    <t>East Georgia College</t>
  </si>
  <si>
    <t xml:space="preserve">Floyd College </t>
  </si>
  <si>
    <t xml:space="preserve">Middle Georgia College </t>
  </si>
  <si>
    <t>Lamar State College-Port Arthur</t>
  </si>
  <si>
    <t xml:space="preserve">Lee College </t>
  </si>
  <si>
    <t xml:space="preserve">Midland College </t>
  </si>
  <si>
    <t>Mountain View College  (DCCCD)</t>
  </si>
  <si>
    <t xml:space="preserve">Navarro College </t>
  </si>
  <si>
    <t>North Central Texas Community College</t>
  </si>
  <si>
    <t>Northwest Vista College (ACCD)</t>
  </si>
  <si>
    <t xml:space="preserve">Odessa College </t>
  </si>
  <si>
    <t>Palo Alto College  (ACCD)</t>
  </si>
  <si>
    <t>Paris Junior College</t>
  </si>
  <si>
    <t xml:space="preserve">Southwest Texas Junior College </t>
  </si>
  <si>
    <t xml:space="preserve">Temple College </t>
  </si>
  <si>
    <t xml:space="preserve">Texarkana College </t>
  </si>
  <si>
    <t xml:space="preserve">Texas State Technical College-Harlingen </t>
  </si>
  <si>
    <t>Texas State Technical College-Waco</t>
  </si>
  <si>
    <t>Trinity Valley Community College</t>
  </si>
  <si>
    <t xml:space="preserve">Vernon College </t>
  </si>
  <si>
    <t xml:space="preserve">Victoria College </t>
  </si>
  <si>
    <t xml:space="preserve">Weatherford College </t>
  </si>
  <si>
    <t xml:space="preserve">Wharton County Junior College </t>
  </si>
  <si>
    <t xml:space="preserve">Clarendon College </t>
  </si>
  <si>
    <t xml:space="preserve">Frank Phillips College </t>
  </si>
  <si>
    <t xml:space="preserve">Galveston College </t>
  </si>
  <si>
    <t>Lamar Institute of Technology</t>
  </si>
  <si>
    <t>Lamar State College-Orange</t>
  </si>
  <si>
    <t xml:space="preserve">Northeast Texas Community College </t>
  </si>
  <si>
    <t>Panola College</t>
  </si>
  <si>
    <t xml:space="preserve">Ranger College </t>
  </si>
  <si>
    <t>Southwest Collegiate Institute for the Deaf (HCJCD)</t>
  </si>
  <si>
    <t>Texas State Technical College-Marshall</t>
  </si>
  <si>
    <t>Texas State Technical College-West Texas</t>
  </si>
  <si>
    <t xml:space="preserve">Western Texas College </t>
  </si>
  <si>
    <t>Texas A&amp;M University System Health Science Center</t>
  </si>
  <si>
    <t>Texas Tech University Health Sciences Center</t>
  </si>
  <si>
    <t>University of North Texas Health Science Center at Fort Worth</t>
  </si>
  <si>
    <t>n/a</t>
  </si>
  <si>
    <t>University of Texas Health Science Center at Houston</t>
  </si>
  <si>
    <t>University of Texas Health Science Center at San Antonio</t>
  </si>
  <si>
    <t>University of Texas M.D. Anderson Cancer Center</t>
  </si>
  <si>
    <t>University of Texas Medical Branch at Galveston</t>
  </si>
  <si>
    <t>University of Texas Southwestern Medical Center at Dallas</t>
  </si>
  <si>
    <t xml:space="preserve">Southeastern Oklahoma State University </t>
  </si>
  <si>
    <t>207847</t>
  </si>
  <si>
    <t>Southwestern Oklahoma State University</t>
  </si>
  <si>
    <t>207865</t>
  </si>
  <si>
    <t>Langston University</t>
  </si>
  <si>
    <t>207209</t>
  </si>
  <si>
    <t xml:space="preserve">Oklahoma Panhandle State University </t>
  </si>
  <si>
    <t>207351</t>
  </si>
  <si>
    <t>University of Science and Arts of Oklahoma</t>
  </si>
  <si>
    <t>207722</t>
  </si>
  <si>
    <t>Rogers State University</t>
  </si>
  <si>
    <t>207661</t>
  </si>
  <si>
    <t xml:space="preserve">Oklahoma City Community College </t>
  </si>
  <si>
    <t>207449</t>
  </si>
  <si>
    <t xml:space="preserve">Tulsa Community College </t>
  </si>
  <si>
    <t>207935</t>
  </si>
  <si>
    <t>Florida Division of Community Colleges and Workforce Education</t>
  </si>
  <si>
    <t xml:space="preserve">Northern Oklahoma College </t>
  </si>
  <si>
    <t>207281</t>
  </si>
  <si>
    <t>207397</t>
  </si>
  <si>
    <t xml:space="preserve">Oklahoma State University Technical Branch-Okmulgee </t>
  </si>
  <si>
    <t>207564</t>
  </si>
  <si>
    <t xml:space="preserve">Rose State College </t>
  </si>
  <si>
    <t>Louisiana State University in Shreveport</t>
  </si>
  <si>
    <t xml:space="preserve">Nicholls State University </t>
  </si>
  <si>
    <t>Southern University at New Orleans</t>
  </si>
  <si>
    <t xml:space="preserve">Delgado Community College </t>
  </si>
  <si>
    <t>Baton Rouge Community College</t>
  </si>
  <si>
    <t>Bossier Parish Community College</t>
  </si>
  <si>
    <t>Louisiana State University at Eunice</t>
  </si>
  <si>
    <t>Louisiana Delta Community College</t>
  </si>
  <si>
    <t>Louisiana State University at Alexandria</t>
  </si>
  <si>
    <t>Nunez Community College</t>
  </si>
  <si>
    <t>River Parishes Community College</t>
  </si>
  <si>
    <t>South Louisiana Community College</t>
  </si>
  <si>
    <t>Southern University in Shreveport</t>
  </si>
  <si>
    <t>Louisiana Technical College-Acadian Campus</t>
  </si>
  <si>
    <t>Louisiana Technical College-Alexandria Campus</t>
  </si>
  <si>
    <t xml:space="preserve">Student fees shall be considered as a source of revenue when developing annual budgets. Students attending Technical Colleges shall normally be charged tuition and related fees unless otherwise exempted by State Board Policy.
Any revenues exceeding budgeted estimates shall be amended into the annual operating budget during the course of the fiscal year.
</t>
  </si>
  <si>
    <t>Rates are set by student classification. Institutions can set rates on a per credit hour basis.</t>
  </si>
  <si>
    <t xml:space="preserve">For specified groups including military personnel and their dependents, survivors of firefighters or police officers killed in line of duty, employees and their dependents who are transferred to KY by their employers, and people over age 65. </t>
  </si>
  <si>
    <t>Tuition rates are set annually by the Board of Governors (BOG) and reviewed/affirmed by the North Carolina General Assembly when it adopts the state's budget. Recommendations for increases in resident tuition rates are made to the BOG through an extensive collaborative process involving all of the constituent institutions and a review of relevant external indices (CPI, HEPI, NCPCPI). Increases in graduate tuition further reflect the increased costs of graduate education over undergraduate education. Nonresident tuition is set in accord with state law that requires comparability with peer institutions nationwide. Institutions may further request that the BOG approve institution-specific increases, either for all students or for students in specific programs.</t>
  </si>
  <si>
    <t>Stair-stepped; rates vary by institution.</t>
  </si>
  <si>
    <r>
      <t xml:space="preserve">When institutions are authorized to issue tuition revenue bonds, they pledge all or a portion of their tuition revenue to repayment of those bonds, which are used for capital projects. The Texas Legislature provides general revenue to replace their tuition revenue. When institutions issue revenue bonds for capital projects and use designated tuition as a source of funds, they are obligated to use those funds to provide debt service. In their revenue financing system, institutions may issue bonds and pledge </t>
    </r>
    <r>
      <rPr>
        <sz val="8"/>
        <color indexed="10"/>
        <rFont val="ARIAL"/>
        <family val="2"/>
      </rPr>
      <t xml:space="preserve">all or any part of the revenue funds (including fee revenue) of the entire university system for repayment. </t>
    </r>
    <r>
      <rPr>
        <sz val="8"/>
        <rFont val="Arial"/>
        <family val="2"/>
      </rPr>
      <t>The "HEAF" and "PUF" are major sources of funding for capital projects.</t>
    </r>
  </si>
  <si>
    <t>Not in statute.</t>
  </si>
  <si>
    <t>Coppin State University</t>
  </si>
  <si>
    <t>Tuition remissions are budgeted as line items for each institution based on level of study (graduate or undergraduate). Students receiving remissions must also be recipients of scholarships or grants for special talent, or a fellowship or assistantship in the case of graduate students. Exemptions are also granted to active-duty military personnel and their dependents (who are reported as in-state residents).</t>
  </si>
  <si>
    <t>Sowela Technical Community College</t>
  </si>
  <si>
    <t>State policies allow waiver of non-resident fees for military personnel and dependents, student research and teaching assistants employed at least one-half time at a public institution, teachers and professors employed at least one-half time at a public institution, non-resident students who receive competitive academic scholarships, non-resident students employed by corporations participating in the economic development and diversification program. Waivers may also be granted to Mexican students attending border institutions and to residents of neighboring states at some institutions. Non-resident fees are waived for students in the SREB Academic Common Market program.</t>
  </si>
  <si>
    <t xml:space="preserve">Formal reciprocity agreements are in effect for some institutions. Agreements are between some Texas institutions and those in neighboring states. </t>
  </si>
  <si>
    <t xml:space="preserve">Northwest Mississippi Community College </t>
  </si>
  <si>
    <t xml:space="preserve">Pearl River Community College </t>
  </si>
  <si>
    <t xml:space="preserve">Coahoma Community College </t>
  </si>
  <si>
    <t xml:space="preserve">East Central Community College </t>
  </si>
  <si>
    <t xml:space="preserve">Southwest Mississippi Community College  </t>
  </si>
  <si>
    <t>Asheville-Buncombe Technical Community College</t>
  </si>
  <si>
    <t>Cape Fear Community College</t>
  </si>
  <si>
    <t>Central Carolina Commuity College</t>
  </si>
  <si>
    <t xml:space="preserve">Central Piedmont Community College </t>
  </si>
  <si>
    <t>Fayetteville Technical Community College</t>
  </si>
  <si>
    <t>Forsyth Technical Community College</t>
  </si>
  <si>
    <t>Guilford Technical Community College</t>
  </si>
  <si>
    <t>Pitt Community College</t>
  </si>
  <si>
    <t xml:space="preserve">Public four-year institutions may award unfunded scholarships to non-Virginia residents in an amount not to exceed the out-of-state differential in tuition and fees. The number and value of awards may not exceed 20% of the enrollment of non-Virginia students during the preceding year. Graduate students must be awarded assistantships. Non-resident fees are waived for students in the SREB Academic Common Market program. </t>
  </si>
  <si>
    <t>Students attending the University of Virginia's College at Wise who live in Kentucky, within 50 miles of the campus, are eligible for in-state tuition. Out-of-state students attending college through a special arrangement contract between an institution and an employer can be eligible for reduced rates.</t>
  </si>
  <si>
    <t>Yes, some institutions have been authorized to establish a self-supporting "instructional enterprise" fund to account for revenue and expenditures of distance education classes offered to students outside the state. Student tuition and fee revenues for distance education students at out-of-state locations must exceed all direct and indirect instructional costs.</t>
  </si>
  <si>
    <t>Language contained in the Appropriation Act states that institutional boards of visitors shall not increase the current proportion of nonresident undergraduate students if an institution's nonresident undergraduate enrollment exceeds 25%.</t>
  </si>
  <si>
    <t>Oklahoma State Regents for Higher Education</t>
  </si>
  <si>
    <t>Louisiana Board of Regents</t>
  </si>
  <si>
    <t>Maryland Higher Education Commission</t>
  </si>
  <si>
    <t>Mississippi State Board for Community and Junior Colleges</t>
  </si>
  <si>
    <t>Delaware Higher Education Commission</t>
  </si>
  <si>
    <t>University of North Carolina General Administration</t>
  </si>
  <si>
    <t>North Carolina Community College System</t>
  </si>
  <si>
    <t>South Carolina Commission on Higher Education</t>
  </si>
  <si>
    <t>State Council of Higher Education for Virginia</t>
  </si>
  <si>
    <t>Tennessee Higher Education Commission</t>
  </si>
  <si>
    <t>All</t>
  </si>
  <si>
    <t>AL</t>
  </si>
  <si>
    <t>State</t>
  </si>
  <si>
    <t>In-</t>
  </si>
  <si>
    <t>Out-of-</t>
  </si>
  <si>
    <t>Veterinary Medicine</t>
  </si>
  <si>
    <t>State Agency</t>
  </si>
  <si>
    <t>AR</t>
  </si>
  <si>
    <t>DE</t>
  </si>
  <si>
    <t>FL</t>
  </si>
  <si>
    <t>MD</t>
  </si>
  <si>
    <t>MS</t>
  </si>
  <si>
    <t>NC</t>
  </si>
  <si>
    <r>
      <t>"</t>
    </r>
    <r>
      <rPr>
        <sz val="8"/>
        <rFont val="Arial"/>
        <family val="0"/>
      </rPr>
      <t>—</t>
    </r>
    <r>
      <rPr>
        <sz val="8"/>
        <rFont val="Arial"/>
        <family val="2"/>
      </rPr>
      <t>" indicates not reported.</t>
    </r>
  </si>
  <si>
    <t>—</t>
  </si>
  <si>
    <t>Fee waivers are established by the General Assembly and the State Board of Community Colleges. Special policies are established for military personnel and dependents. Out-of-state military personnel on education assistance pay in-state tuition rates; the military branch is billed for the difference between in-state and out-of-state rates. Military dependents are charged the in-state rates. Legal residents of North Carolina who have attained the age of 65 shall be permitted to attend classes for credit or non-credit purposes without the required payment of tuition.</t>
  </si>
  <si>
    <t>No statewide policies.</t>
  </si>
  <si>
    <t>State Board of Regents within limits prescribed by the Legislature.</t>
  </si>
  <si>
    <t>Policy permits individual institutions to waive tuition at their discretion but they then forego that revenue. Non-resident fees are waived for students in the SREB Academic Common Market program. No other statewide policy.</t>
  </si>
  <si>
    <t>OLD</t>
  </si>
  <si>
    <t>% change</t>
  </si>
  <si>
    <t>All Technical</t>
  </si>
  <si>
    <t>All Two-Year</t>
  </si>
  <si>
    <t>Generally all tuition and fee revenue is devoted to operating expenses. There are other sources used for capital improvements.</t>
  </si>
  <si>
    <t>SREB states</t>
  </si>
  <si>
    <t>In-State</t>
  </si>
  <si>
    <t>Out-of-State</t>
  </si>
  <si>
    <t>Two-Year College</t>
  </si>
  <si>
    <t>Four-Year Universities</t>
  </si>
  <si>
    <t>Institutions must report annually to CHE its actual in-state/out-of-state student mix and its optimum student mix.</t>
  </si>
  <si>
    <t>Individual boards using guidelines of Higher Education Commission</t>
  </si>
  <si>
    <t xml:space="preserve">THEC policy states that resident tuition for undergraduates be set at 40% of appropriations for 4-year institutions, 35% of appropriations for 2-year institutions and 15% of appropriations for medicine, dentistry, veterinary medicine and technology centers. Resident tuition should not exceed SREB averages unless appropriations and the ratios indicate otherwise. Non-resident tuition should be 80%-90% of state appropriations for resident students. </t>
  </si>
  <si>
    <t xml:space="preserve">Columbia State Community College </t>
  </si>
  <si>
    <t xml:space="preserve">Jackson State Community College </t>
  </si>
  <si>
    <t xml:space="preserve">Motlow State Community College </t>
  </si>
  <si>
    <t>Nashville State Technical Institute</t>
  </si>
  <si>
    <t>Northeast State Technical Community College</t>
  </si>
  <si>
    <t xml:space="preserve">Roane State Community College </t>
  </si>
  <si>
    <t xml:space="preserve">Volunteer State Community College </t>
  </si>
  <si>
    <t xml:space="preserve">Walters State Community College </t>
  </si>
  <si>
    <t xml:space="preserve">Dyersburg State Community College </t>
  </si>
  <si>
    <t>Tennessee Technology Center at Memphis</t>
  </si>
  <si>
    <t>Tennessee Technology Center at Athens</t>
  </si>
  <si>
    <t>Tennessee Technology Center at Chattanooga</t>
  </si>
  <si>
    <t>219824B</t>
  </si>
  <si>
    <t>Tennessee Technology Center at Covington</t>
  </si>
  <si>
    <t>Tennessee Technology Center at Crossville</t>
  </si>
  <si>
    <t>Tennessee Technology Center at Crump</t>
  </si>
  <si>
    <t>Tennessee Technology Center at Dickson</t>
  </si>
  <si>
    <t>Tennessee Technology Center at Elizabethton</t>
  </si>
  <si>
    <t>Tennessee Technology Center at Harriman</t>
  </si>
  <si>
    <t>Tennessee Technology Center at Hartsville</t>
  </si>
  <si>
    <t>Tennessee Technology Center at Holenwald</t>
  </si>
  <si>
    <t>Tennessee Technology Center at Jacksboro</t>
  </si>
  <si>
    <t>Tennessee Technology Center at Jackson</t>
  </si>
  <si>
    <t>Tennessee Technology Center at Knoxville</t>
  </si>
  <si>
    <t>Tennessee Technology Center at Livingston</t>
  </si>
  <si>
    <t>Tennessee Technology Center at McKenzie</t>
  </si>
  <si>
    <t>Tennessee Technology Center at McMinnville</t>
  </si>
  <si>
    <t>Tennessee Technology Center at Morristown</t>
  </si>
  <si>
    <t>Tennessee Technology Center at Murfeesboro</t>
  </si>
  <si>
    <t>Tennessee Technology Center at Nashville</t>
  </si>
  <si>
    <t>Tennessee Technology Center at Newbern</t>
  </si>
  <si>
    <t>Tennessee Technology Center at Oneida</t>
  </si>
  <si>
    <t>Tennessee Technology Center at Paris</t>
  </si>
  <si>
    <t>Tennessee Technology Center at Pulaski</t>
  </si>
  <si>
    <t>Tennessee Technology Center at Ripley</t>
  </si>
  <si>
    <t>Tennessee Technology Center at Shelbyville</t>
  </si>
  <si>
    <t xml:space="preserve">There is no requirement that a certain portion of tuition and fee revenue be devoted to capital funding. However, the percentages of tuition allocated by the institutions to debt service and capital expenditures range from 2% to more than 11%. All public institutions in SC are eligible to receive capital improvement bond funding and other state funds for capital items. Technical colleges also receive local funds for capital expenditures. </t>
  </si>
  <si>
    <t xml:space="preserve">Notes: The amounts shown for each state are the medians (middle values) of the institutions in each state. The "SREB states median" is the middle value of all institutions of each type. Full-time undergraduate students are defined by a 15 credit hour load per term. For two-year colleges, "in-district" rates are reported in the "in-state" column and "out-of-district" may be reported in the "out-of-state" column, if no other out-of-state rates apply. In Two-Year 2 institutions in Georgia, degree program students are charged slightly higher fees than those shown above that reflect charges to students in certificate or diploma programs. </t>
  </si>
  <si>
    <t xml:space="preserve">Notes: The amounts shown for each state are the medians (middle values) of the institutions in each state. The "SREB states median" is the middle value of all institutions of each type. Full-time undergraduate students are defined by a 15 credit hour load per term. </t>
  </si>
  <si>
    <t>Full-Time Out-of-State Graduate Students</t>
  </si>
  <si>
    <t>Full-Time In-State Students in Professional Programs</t>
  </si>
  <si>
    <t>Osteopathic</t>
  </si>
  <si>
    <t>Veterinary</t>
  </si>
  <si>
    <t>Law</t>
  </si>
  <si>
    <t>Medicine</t>
  </si>
  <si>
    <t>Dentistry</t>
  </si>
  <si>
    <t>Pharmacy</t>
  </si>
  <si>
    <t>Optometry</t>
  </si>
  <si>
    <t>Notes:  The amounts shown for each state are the medians (middle values) of the institutions in each state.  The "SREB states median" is the middle value of all institutions with the professional program.</t>
  </si>
  <si>
    <t>Full-Time Out-of-State Students in Professional Programs</t>
  </si>
  <si>
    <t>Delaware</t>
  </si>
  <si>
    <t>LA</t>
  </si>
  <si>
    <t>Type</t>
  </si>
  <si>
    <t>OK</t>
  </si>
  <si>
    <t>TN</t>
  </si>
  <si>
    <t>TX</t>
  </si>
  <si>
    <t>Virginia*</t>
  </si>
  <si>
    <t>Institution</t>
  </si>
  <si>
    <t>ID #</t>
  </si>
  <si>
    <t>Category</t>
  </si>
  <si>
    <t>All 4yr</t>
  </si>
  <si>
    <t>SREB</t>
  </si>
  <si>
    <t>Size Unknown</t>
  </si>
  <si>
    <t>By credit hour.</t>
  </si>
  <si>
    <t>Veterinary Med. Out-of-State</t>
  </si>
  <si>
    <t>Veterinary Med In-State</t>
  </si>
  <si>
    <t>Osteopathic Med Out-of-State</t>
  </si>
  <si>
    <t>Osteopathic Med In-State</t>
  </si>
  <si>
    <t>Technical Institute or College</t>
  </si>
  <si>
    <t>None. Capital funding is derived through a combination of Academic Revenue Bonds, Auxiliary Revenue Bonds, and the Maryland Consolidated Capital Bond Loan.</t>
  </si>
  <si>
    <t>Pharmacy In-State</t>
  </si>
  <si>
    <t>Pharmacy Out-of-State</t>
  </si>
  <si>
    <t>Optometry In-State</t>
  </si>
  <si>
    <t>Optometry Out-of-State</t>
  </si>
  <si>
    <t>Boards of Trustees of individual institutions are solely empowered to establish tuition and fees. Legislation provides guidelines for common student classifications and requirements for non-resident tuition rates.</t>
  </si>
  <si>
    <t>Boards of Trustees of the institutions set rates based on expected enrollment and needed revenue. Legislation requires that non-resident tuition be no less than twice the resident tuition charge.</t>
  </si>
  <si>
    <t>Mississippi Board of Trustees of State
Institutions of Higher Learning</t>
  </si>
  <si>
    <t xml:space="preserve">Rates are set by the Texas legislature. Non-resident tuition is based on the average non-resident tuition in the 5 most populous states (CA, FL, IL, NY,&amp; PA). Institutions can double the base undergraduate rate for graduate programs at their discretion and can set a General Use Fee (known as Designated Tuition) no greater than the base tuition rate. Beginning in January, 2004, the Legislature delegated to governing boards the authority to set rates for a portion of tuition known as designated tuition (deregulated), with the requirement that a percentage of funds received from charges exceeding $46 per SCH be set aside for financial aid programs. Tuition at community colleges is set by Boards of Trustees based on a minimum set by the legislature. </t>
  </si>
  <si>
    <t>Not necessarily. Varies by institution.</t>
  </si>
  <si>
    <t xml:space="preserve">In accordance with the policy approved in April 2001, allowing research universities to request increases in out-of-state tuition rates to the levels of peer or benchmark institutions, the understanding is that the proportion of out-of-state students not be increased at the research universities. </t>
  </si>
  <si>
    <t>Individual institutions may decide based on legislative guidelines. The guidelines allow institutions to extend resident tuition rates to students who reside in any county within 50-miles of a campus of the institution.</t>
  </si>
  <si>
    <t>Individual institutions set limits, if any.</t>
  </si>
  <si>
    <t xml:space="preserve">Thomas Nelson Community College </t>
  </si>
  <si>
    <t>Table 104</t>
  </si>
  <si>
    <t>Table 105</t>
  </si>
  <si>
    <t>Tuition reciprocity agreement w/TX (for Bowie CC/TX)</t>
  </si>
  <si>
    <t>No set policy. Another source of funding is through general revenue appropriation.</t>
  </si>
  <si>
    <t>Institutional boards of trustees are solely empowered to establish tuition and fees.</t>
  </si>
  <si>
    <t>Individual institutions set rates based on expected enrollment and anticipated revenue.</t>
  </si>
  <si>
    <t>No.</t>
  </si>
  <si>
    <t>Yes.</t>
  </si>
  <si>
    <t>Varies by institution.</t>
  </si>
  <si>
    <t>Yes. Varies by institution.</t>
  </si>
  <si>
    <t>Georgia Board of Regents</t>
  </si>
  <si>
    <t>Students taking twelve or more credit hours pay the full-time tuition rate. Students taking less than twelve hours pay a prorated amount based on the number of credit hours taken.</t>
  </si>
  <si>
    <t xml:space="preserve">Auburn University  </t>
  </si>
  <si>
    <t xml:space="preserve">University of Alabama </t>
  </si>
  <si>
    <t>University of Alabama at Birmingham</t>
  </si>
  <si>
    <t>University of Alabama in Huntsville</t>
  </si>
  <si>
    <t>Alabama Agricultural &amp; Mechanical University</t>
  </si>
  <si>
    <t xml:space="preserve">Jacksonville State University </t>
  </si>
  <si>
    <t>University of South Alabama</t>
  </si>
  <si>
    <t xml:space="preserve">Alabama State University </t>
  </si>
  <si>
    <t>Auburn University at Montgomery</t>
  </si>
  <si>
    <t>Troy State University</t>
  </si>
  <si>
    <t>University of Montevallo</t>
  </si>
  <si>
    <t>University of North Alabama</t>
  </si>
  <si>
    <t>Troy State University at Dothan</t>
  </si>
  <si>
    <t xml:space="preserve">Troy State University in Montgomery </t>
  </si>
  <si>
    <t>University of West Alabama</t>
  </si>
  <si>
    <t>Athens State University</t>
  </si>
  <si>
    <t xml:space="preserve">John C. Calhoun State Community College </t>
  </si>
  <si>
    <t>Bevill State Community College</t>
  </si>
  <si>
    <t>Bishop State Community College</t>
  </si>
  <si>
    <t>Gadsden State Community College</t>
  </si>
  <si>
    <t>George C. Wallace State Community College - Dothan</t>
  </si>
  <si>
    <t>James H. Faulkner State Community College</t>
  </si>
  <si>
    <t>Jefferson State Community College</t>
  </si>
  <si>
    <t>Northwest-Shoals Community College</t>
  </si>
  <si>
    <t>Shelton State Community College</t>
  </si>
  <si>
    <t>Southern Union State Community College</t>
  </si>
  <si>
    <t>Wallace Community College - Hanceville</t>
  </si>
  <si>
    <t>Alabama Southern Community College</t>
  </si>
  <si>
    <t>Central Alabama Community College</t>
  </si>
  <si>
    <t xml:space="preserve">Chattahoochee Valley State Community College </t>
  </si>
  <si>
    <t>George Corley Wallace State Community College - Selma</t>
  </si>
  <si>
    <t>Jefferson Davis Community College</t>
  </si>
  <si>
    <t xml:space="preserve">Lawson State Community College </t>
  </si>
  <si>
    <t xml:space="preserve">Out-of-state tuition rates can be waived for the following: 
(A) Out-of-state students living in counties which are contiguous to Georgia counties in which a USG institution is located.
(B) Research University Graduate students ( each research university is authorized to waive the out-of-state tuition differential for a limited number of graduate students each year), state and university employees and their dependents, military personnel, their spouses and dependents (the waiver can be retained by the military personnel, their spouses, and their dependent children if the military sponsor is reassigned outside of Georgia, as long as the student(s) remain continuously enrolled and the military sponsor remains on active military status), full-time Georgia public school teachers, medical and dental residents and interns at the Medical College of Georgia and career consular officers and their dependents,
(C) International students and superior out-of-state students (up to 2% of the institution's total enrollment). 
(D) Full-time members of the Georgia National Guard. </t>
  </si>
  <si>
    <t>University of West Georgia</t>
  </si>
  <si>
    <t>Georgia Aviation Technical College</t>
  </si>
  <si>
    <t xml:space="preserve">Somerset Community and Technical College </t>
  </si>
  <si>
    <t xml:space="preserve">Francis Tuttle Technology Center                  </t>
  </si>
  <si>
    <t xml:space="preserve">Autry Technology Center                           </t>
  </si>
  <si>
    <t xml:space="preserve">Caddo Kiowa Technology Center                     </t>
  </si>
  <si>
    <t xml:space="preserve">Canadian Valley Technology Center                 </t>
  </si>
  <si>
    <t xml:space="preserve">Central Technology Center                         </t>
  </si>
  <si>
    <t xml:space="preserve">Chisholm Trail Technology Center                  </t>
  </si>
  <si>
    <t xml:space="preserve">Eastern Oklahoma County Technology Center         </t>
  </si>
  <si>
    <t>1 of nine schools</t>
  </si>
  <si>
    <t>1 of 10 schools</t>
  </si>
  <si>
    <t>NA</t>
  </si>
  <si>
    <t>Notes: The amounts shown for each state are the medians (middle values) of the institutions in each state. The "SREB states median" is the middle value of all institutions of each type. Full-time graduate students are defined by a 12 credit hour load per term.</t>
  </si>
  <si>
    <t>Table 101</t>
  </si>
  <si>
    <t>Table 102</t>
  </si>
  <si>
    <t>Table 103</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</si>
</sst>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
    <numFmt numFmtId="166" formatCode="_(* #,##0.0_);_(* \(#,##0.0\);_(* &quot;-&quot;??_);_(@_)"/>
    <numFmt numFmtId="167" formatCode="_(* #,##0_);_(* \(#,##0\);_(* &quot;-&quot;??_);_(@_)"/>
    <numFmt numFmtId="168" formatCode="&quot;$&quot;#,##0"/>
    <numFmt numFmtId="169" formatCode="#,##0.0"/>
    <numFmt numFmtId="170" formatCode="#,##0.000_);\(#,##0.000\)"/>
    <numFmt numFmtId="171" formatCode="#,##0.000"/>
    <numFmt numFmtId="172" formatCode="0.0_)"/>
    <numFmt numFmtId="173" formatCode="0.00_)"/>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35">
    <font>
      <sz val="12"/>
      <name val="AGaramond"/>
      <family val="0"/>
    </font>
    <font>
      <sz val="8"/>
      <color indexed="8"/>
      <name val="Arial"/>
      <family val="2"/>
    </font>
    <font>
      <b/>
      <sz val="8"/>
      <color indexed="12"/>
      <name val="Arial"/>
      <family val="2"/>
    </font>
    <font>
      <sz val="10"/>
      <name val="Tahoma"/>
      <family val="0"/>
    </font>
    <font>
      <sz val="8"/>
      <name val="Arial"/>
      <family val="2"/>
    </font>
    <font>
      <b/>
      <sz val="9"/>
      <color indexed="8"/>
      <name val="Arial"/>
      <family val="2"/>
    </font>
    <font>
      <b/>
      <sz val="14"/>
      <name val="Arial"/>
      <family val="2"/>
    </font>
    <font>
      <sz val="10"/>
      <name val="ARIAL"/>
      <family val="2"/>
    </font>
    <font>
      <b/>
      <sz val="12"/>
      <name val="Arial"/>
      <family val="2"/>
    </font>
    <font>
      <b/>
      <sz val="9"/>
      <name val="Arial"/>
      <family val="2"/>
    </font>
    <font>
      <b/>
      <sz val="10"/>
      <name val="Arial"/>
      <family val="2"/>
    </font>
    <font>
      <sz val="12"/>
      <name val="Arial"/>
      <family val="2"/>
    </font>
    <font>
      <sz val="8"/>
      <name val="Tahoma"/>
      <family val="0"/>
    </font>
    <font>
      <b/>
      <sz val="10"/>
      <name val="Tahoma"/>
      <family val="0"/>
    </font>
    <font>
      <sz val="10"/>
      <name val="Courier"/>
      <family val="0"/>
    </font>
    <font>
      <b/>
      <sz val="8"/>
      <name val="Tahoma"/>
      <family val="0"/>
    </font>
    <font>
      <sz val="10"/>
      <color indexed="19"/>
      <name val="Arial"/>
      <family val="2"/>
    </font>
    <font>
      <sz val="12"/>
      <color indexed="19"/>
      <name val="AGaramond"/>
      <family val="0"/>
    </font>
    <font>
      <sz val="8"/>
      <name val="AGaramond"/>
      <family val="0"/>
    </font>
    <font>
      <b/>
      <sz val="10"/>
      <color indexed="12"/>
      <name val="Arial"/>
      <family val="2"/>
    </font>
    <font>
      <vertAlign val="superscript"/>
      <sz val="8"/>
      <name val="Arial"/>
      <family val="2"/>
    </font>
    <font>
      <sz val="10"/>
      <color indexed="8"/>
      <name val="Arial"/>
      <family val="2"/>
    </font>
    <font>
      <b/>
      <sz val="10"/>
      <color indexed="8"/>
      <name val="Arial"/>
      <family val="2"/>
    </font>
    <font>
      <sz val="10"/>
      <color indexed="12"/>
      <name val="Arial"/>
      <family val="2"/>
    </font>
    <font>
      <sz val="10"/>
      <name val="Arial"/>
      <family val="0"/>
    </font>
    <font>
      <sz val="9"/>
      <name val="AGaramond"/>
      <family val="0"/>
    </font>
    <font>
      <sz val="8"/>
      <color indexed="10"/>
      <name val="ARIAL"/>
      <family val="2"/>
    </font>
    <font>
      <sz val="10"/>
      <name val="AGaramond"/>
      <family val="0"/>
    </font>
    <font>
      <u val="single"/>
      <sz val="8"/>
      <color indexed="8"/>
      <name val="Arial"/>
      <family val="2"/>
    </font>
    <font>
      <sz val="8"/>
      <color indexed="8"/>
      <name val="Tahoma"/>
      <family val="0"/>
    </font>
    <font>
      <b/>
      <sz val="14"/>
      <color indexed="8"/>
      <name val="Arial"/>
      <family val="2"/>
    </font>
    <font>
      <b/>
      <sz val="10"/>
      <color indexed="48"/>
      <name val="Arial"/>
      <family val="2"/>
    </font>
    <font>
      <sz val="10"/>
      <color indexed="10"/>
      <name val="ARIAL"/>
      <family val="2"/>
    </font>
    <font>
      <b/>
      <sz val="10"/>
      <color indexed="10"/>
      <name val="Arial"/>
      <family val="2"/>
    </font>
    <font>
      <b/>
      <sz val="8"/>
      <name val="AGaramond"/>
      <family val="2"/>
    </font>
  </fonts>
  <fills count="12">
    <fill>
      <patternFill/>
    </fill>
    <fill>
      <patternFill patternType="gray125"/>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9"/>
        <bgColor indexed="64"/>
      </patternFill>
    </fill>
    <fill>
      <patternFill patternType="solid">
        <fgColor indexed="13"/>
        <bgColor indexed="64"/>
      </patternFill>
    </fill>
  </fills>
  <borders count="43">
    <border>
      <left/>
      <right/>
      <top/>
      <bottom/>
      <diagonal/>
    </border>
    <border>
      <left>
        <color indexed="63"/>
      </left>
      <right>
        <color indexed="63"/>
      </right>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right style="thin">
        <color indexed="8"/>
      </right>
      <top>
        <color indexed="63"/>
      </top>
      <bottom>
        <color indexed="63"/>
      </bottom>
    </border>
    <border>
      <left style="thin"/>
      <right style="thin">
        <color indexed="8"/>
      </right>
      <top>
        <color indexed="63"/>
      </top>
      <bottom style="thin"/>
    </border>
    <border>
      <left>
        <color indexed="63"/>
      </left>
      <right style="thin"/>
      <top style="thin">
        <color indexed="8"/>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border>
    <border>
      <left>
        <color indexed="63"/>
      </left>
      <right style="thin"/>
      <top style="thin">
        <color indexed="8"/>
      </top>
      <bottom>
        <color indexed="63"/>
      </bottom>
    </border>
    <border>
      <left>
        <color indexed="63"/>
      </left>
      <right>
        <color indexed="63"/>
      </right>
      <top style="thin">
        <color indexed="8"/>
      </top>
      <bottom style="thin">
        <color indexed="8"/>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color indexed="8"/>
      </bottom>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
      <left style="thin"/>
      <right>
        <color indexed="63"/>
      </right>
      <top style="thin">
        <color indexed="8"/>
      </top>
      <bottom style="thin">
        <color indexed="8"/>
      </bottom>
    </border>
    <border>
      <left style="thin">
        <color indexed="8"/>
      </left>
      <right>
        <color indexed="63"/>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3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lignment/>
      <protection/>
    </xf>
    <xf numFmtId="164" fontId="0" fillId="0" borderId="0">
      <alignment/>
      <protection/>
    </xf>
    <xf numFmtId="164" fontId="0" fillId="0" borderId="0">
      <alignment/>
      <protection/>
    </xf>
    <xf numFmtId="164" fontId="0" fillId="0" borderId="0">
      <alignment/>
      <protection/>
    </xf>
    <xf numFmtId="37" fontId="14" fillId="0" borderId="0">
      <alignment/>
      <protection/>
    </xf>
    <xf numFmtId="0" fontId="24" fillId="0" borderId="0">
      <alignment/>
      <protection/>
    </xf>
    <xf numFmtId="3" fontId="4" fillId="0" borderId="0">
      <alignment/>
      <protection/>
    </xf>
    <xf numFmtId="37" fontId="4" fillId="0" borderId="0">
      <alignment/>
      <protection/>
    </xf>
    <xf numFmtId="0" fontId="7" fillId="0" borderId="0">
      <alignment/>
      <protection/>
    </xf>
    <xf numFmtId="164" fontId="0" fillId="0" borderId="0">
      <alignment/>
      <protection/>
    </xf>
    <xf numFmtId="9" fontId="0" fillId="0" borderId="0" applyFont="0" applyFill="0" applyBorder="0" applyAlignment="0" applyProtection="0"/>
  </cellStyleXfs>
  <cellXfs count="378">
    <xf numFmtId="164" fontId="0" fillId="0" borderId="0" xfId="0" applyAlignment="1">
      <alignment/>
    </xf>
    <xf numFmtId="164" fontId="4" fillId="0" borderId="0" xfId="0" applyFont="1" applyAlignment="1">
      <alignment/>
    </xf>
    <xf numFmtId="164" fontId="4" fillId="0" borderId="0" xfId="0" applyFont="1" applyBorder="1" applyAlignment="1">
      <alignment/>
    </xf>
    <xf numFmtId="0" fontId="7" fillId="0" borderId="0" xfId="27" applyFont="1">
      <alignment/>
      <protection/>
    </xf>
    <xf numFmtId="0" fontId="7" fillId="0" borderId="1" xfId="27" applyFont="1" applyBorder="1">
      <alignment/>
      <protection/>
    </xf>
    <xf numFmtId="0" fontId="9" fillId="0" borderId="2" xfId="27" applyFont="1" applyBorder="1" applyAlignment="1" applyProtection="1">
      <alignment horizontal="centerContinuous"/>
      <protection/>
    </xf>
    <xf numFmtId="0" fontId="7" fillId="0" borderId="0" xfId="27" applyFont="1" applyBorder="1">
      <alignment/>
      <protection/>
    </xf>
    <xf numFmtId="0" fontId="7" fillId="0" borderId="0" xfId="27" applyFont="1" applyFill="1">
      <alignment/>
      <protection/>
    </xf>
    <xf numFmtId="3" fontId="7" fillId="0" borderId="0" xfId="27" applyNumberFormat="1" applyFont="1" applyAlignment="1">
      <alignment horizontal="center"/>
      <protection/>
    </xf>
    <xf numFmtId="0" fontId="7" fillId="0" borderId="0" xfId="27" applyFill="1">
      <alignment/>
      <protection/>
    </xf>
    <xf numFmtId="0" fontId="7" fillId="0" borderId="3" xfId="27" applyFont="1" applyBorder="1">
      <alignment/>
      <protection/>
    </xf>
    <xf numFmtId="3" fontId="7" fillId="0" borderId="0" xfId="27" applyNumberFormat="1" applyFont="1" applyBorder="1" applyAlignment="1">
      <alignment horizontal="center"/>
      <protection/>
    </xf>
    <xf numFmtId="3" fontId="7" fillId="0" borderId="0" xfId="27" applyNumberFormat="1" applyFont="1" applyFill="1" applyBorder="1" applyAlignment="1">
      <alignment horizontal="center"/>
      <protection/>
    </xf>
    <xf numFmtId="0" fontId="7" fillId="0" borderId="0" xfId="27">
      <alignment/>
      <protection/>
    </xf>
    <xf numFmtId="0" fontId="10" fillId="0" borderId="2" xfId="27" applyFont="1" applyBorder="1" applyAlignment="1" applyProtection="1">
      <alignment horizontal="centerContinuous"/>
      <protection/>
    </xf>
    <xf numFmtId="164" fontId="0" fillId="0" borderId="0" xfId="0" applyAlignment="1">
      <alignment horizontal="center"/>
    </xf>
    <xf numFmtId="0" fontId="7" fillId="0" borderId="1" xfId="27" applyBorder="1">
      <alignment/>
      <protection/>
    </xf>
    <xf numFmtId="3" fontId="7" fillId="0" borderId="0" xfId="27" applyNumberFormat="1" applyAlignment="1">
      <alignment horizontal="center"/>
      <protection/>
    </xf>
    <xf numFmtId="0" fontId="7" fillId="0" borderId="0" xfId="27" applyFont="1" applyFill="1" applyBorder="1">
      <alignment/>
      <protection/>
    </xf>
    <xf numFmtId="0" fontId="9" fillId="0" borderId="4" xfId="27" applyFont="1" applyBorder="1" applyAlignment="1" applyProtection="1">
      <alignment horizontal="centerContinuous"/>
      <protection/>
    </xf>
    <xf numFmtId="164" fontId="11" fillId="0" borderId="0" xfId="0" applyFont="1" applyAlignment="1">
      <alignment/>
    </xf>
    <xf numFmtId="164" fontId="4" fillId="0" borderId="0" xfId="0" applyFont="1" applyAlignment="1">
      <alignment vertical="center"/>
    </xf>
    <xf numFmtId="168" fontId="7" fillId="0" borderId="0" xfId="27" applyNumberFormat="1" applyFont="1" applyAlignment="1">
      <alignment horizontal="center"/>
      <protection/>
    </xf>
    <xf numFmtId="0" fontId="6" fillId="0" borderId="0" xfId="27" applyFont="1" applyAlignment="1">
      <alignment horizontal="center"/>
      <protection/>
    </xf>
    <xf numFmtId="0" fontId="8" fillId="0" borderId="0" xfId="27" applyFont="1" applyAlignment="1">
      <alignment horizontal="center"/>
      <protection/>
    </xf>
    <xf numFmtId="164" fontId="4" fillId="0" borderId="0" xfId="0" applyFont="1" applyAlignment="1">
      <alignment vertical="top" wrapText="1"/>
    </xf>
    <xf numFmtId="164" fontId="0" fillId="0" borderId="0" xfId="0" applyBorder="1" applyAlignment="1">
      <alignment/>
    </xf>
    <xf numFmtId="168" fontId="7" fillId="0" borderId="0" xfId="27" applyNumberFormat="1" applyFont="1" applyFill="1" applyAlignment="1">
      <alignment horizontal="right"/>
      <protection/>
    </xf>
    <xf numFmtId="168" fontId="7" fillId="0" borderId="5" xfId="27" applyNumberFormat="1" applyFont="1" applyFill="1" applyBorder="1" applyAlignment="1">
      <alignment horizontal="right"/>
      <protection/>
    </xf>
    <xf numFmtId="3" fontId="7" fillId="0" borderId="0" xfId="27" applyNumberFormat="1" applyFont="1" applyFill="1" applyAlignment="1">
      <alignment horizontal="right"/>
      <protection/>
    </xf>
    <xf numFmtId="3" fontId="7" fillId="0" borderId="5" xfId="27" applyNumberFormat="1" applyFont="1" applyFill="1" applyBorder="1" applyAlignment="1">
      <alignment horizontal="right"/>
      <protection/>
    </xf>
    <xf numFmtId="3" fontId="7" fillId="0" borderId="0" xfId="27" applyNumberFormat="1" applyFont="1" applyAlignment="1">
      <alignment horizontal="right"/>
      <protection/>
    </xf>
    <xf numFmtId="3" fontId="7" fillId="0" borderId="5" xfId="27" applyNumberFormat="1" applyFont="1" applyBorder="1" applyAlignment="1">
      <alignment horizontal="right"/>
      <protection/>
    </xf>
    <xf numFmtId="3" fontId="7" fillId="0" borderId="3" xfId="27" applyNumberFormat="1" applyFont="1" applyFill="1" applyBorder="1" applyAlignment="1">
      <alignment horizontal="right"/>
      <protection/>
    </xf>
    <xf numFmtId="3" fontId="7" fillId="0" borderId="6" xfId="27" applyNumberFormat="1" applyFont="1" applyFill="1" applyBorder="1" applyAlignment="1">
      <alignment horizontal="right"/>
      <protection/>
    </xf>
    <xf numFmtId="3" fontId="7" fillId="0" borderId="0" xfId="27" applyNumberFormat="1" applyFont="1" applyBorder="1" applyAlignment="1">
      <alignment horizontal="right"/>
      <protection/>
    </xf>
    <xf numFmtId="3" fontId="7" fillId="0" borderId="3" xfId="27" applyNumberFormat="1" applyFont="1" applyBorder="1" applyAlignment="1">
      <alignment horizontal="right"/>
      <protection/>
    </xf>
    <xf numFmtId="0" fontId="9" fillId="0" borderId="0" xfId="27" applyFont="1" applyBorder="1" applyAlignment="1" applyProtection="1">
      <alignment horizontal="center"/>
      <protection/>
    </xf>
    <xf numFmtId="0" fontId="6" fillId="0" borderId="0" xfId="27" applyFont="1" applyAlignment="1">
      <alignment horizontal="centerContinuous"/>
      <protection/>
    </xf>
    <xf numFmtId="0" fontId="8" fillId="0" borderId="0" xfId="27" applyFont="1" applyAlignment="1">
      <alignment horizontal="centerContinuous"/>
      <protection/>
    </xf>
    <xf numFmtId="164" fontId="4" fillId="0" borderId="0" xfId="0" applyFont="1" applyFill="1" applyBorder="1" applyAlignment="1">
      <alignment/>
    </xf>
    <xf numFmtId="168" fontId="7" fillId="0" borderId="7" xfId="27" applyNumberFormat="1" applyFont="1" applyFill="1" applyBorder="1" applyAlignment="1">
      <alignment horizontal="right"/>
      <protection/>
    </xf>
    <xf numFmtId="3" fontId="7" fillId="0" borderId="7" xfId="27" applyNumberFormat="1" applyFont="1" applyFill="1" applyBorder="1" applyAlignment="1">
      <alignment horizontal="right"/>
      <protection/>
    </xf>
    <xf numFmtId="3" fontId="7" fillId="0" borderId="7" xfId="27" applyNumberFormat="1" applyFont="1" applyBorder="1" applyAlignment="1">
      <alignment horizontal="right"/>
      <protection/>
    </xf>
    <xf numFmtId="3" fontId="7" fillId="0" borderId="8" xfId="27" applyNumberFormat="1" applyFont="1" applyFill="1" applyBorder="1" applyAlignment="1">
      <alignment horizontal="right"/>
      <protection/>
    </xf>
    <xf numFmtId="3" fontId="7" fillId="0" borderId="9" xfId="27" applyNumberFormat="1" applyFont="1" applyBorder="1" applyAlignment="1">
      <alignment horizontal="right"/>
      <protection/>
    </xf>
    <xf numFmtId="3" fontId="7" fillId="0" borderId="10" xfId="27" applyNumberFormat="1" applyFont="1" applyBorder="1" applyAlignment="1">
      <alignment horizontal="right"/>
      <protection/>
    </xf>
    <xf numFmtId="0" fontId="10" fillId="0" borderId="11" xfId="27" applyFont="1" applyBorder="1" applyAlignment="1" applyProtection="1">
      <alignment horizontal="centerContinuous"/>
      <protection/>
    </xf>
    <xf numFmtId="0" fontId="16" fillId="0" borderId="0" xfId="27" applyFont="1" applyFill="1" applyBorder="1">
      <alignment/>
      <protection/>
    </xf>
    <xf numFmtId="3" fontId="16" fillId="0" borderId="0" xfId="27" applyNumberFormat="1" applyFont="1" applyBorder="1" applyAlignment="1">
      <alignment horizontal="right"/>
      <protection/>
    </xf>
    <xf numFmtId="164" fontId="17" fillId="0" borderId="0" xfId="0" applyFont="1" applyAlignment="1">
      <alignment/>
    </xf>
    <xf numFmtId="3" fontId="16" fillId="0" borderId="12" xfId="27" applyNumberFormat="1" applyFont="1" applyBorder="1" applyAlignment="1">
      <alignment horizontal="right"/>
      <protection/>
    </xf>
    <xf numFmtId="3" fontId="7" fillId="0" borderId="13" xfId="27" applyNumberFormat="1" applyFont="1" applyBorder="1" applyAlignment="1">
      <alignment horizontal="right"/>
      <protection/>
    </xf>
    <xf numFmtId="164" fontId="0" fillId="0" borderId="13" xfId="0" applyBorder="1" applyAlignment="1">
      <alignment/>
    </xf>
    <xf numFmtId="3" fontId="7" fillId="0" borderId="14" xfId="27" applyNumberFormat="1" applyFont="1" applyBorder="1" applyAlignment="1">
      <alignment horizontal="right"/>
      <protection/>
    </xf>
    <xf numFmtId="37" fontId="5" fillId="0" borderId="15" xfId="26" applyNumberFormat="1" applyFont="1" applyBorder="1" applyAlignment="1" applyProtection="1">
      <alignment horizontal="left" wrapText="1"/>
      <protection/>
    </xf>
    <xf numFmtId="164" fontId="9" fillId="0" borderId="15" xfId="0" applyFont="1" applyBorder="1" applyAlignment="1">
      <alignment horizontal="left" wrapText="1"/>
    </xf>
    <xf numFmtId="164" fontId="18" fillId="0" borderId="0" xfId="0" applyFont="1" applyAlignment="1">
      <alignment horizontal="left"/>
    </xf>
    <xf numFmtId="164" fontId="18" fillId="0" borderId="0" xfId="0" applyFont="1" applyBorder="1" applyAlignment="1">
      <alignment horizontal="left"/>
    </xf>
    <xf numFmtId="164" fontId="18" fillId="0" borderId="0" xfId="0" applyFont="1" applyAlignment="1">
      <alignment/>
    </xf>
    <xf numFmtId="168" fontId="7" fillId="0" borderId="0" xfId="27" applyNumberFormat="1" applyFont="1" applyFill="1" applyBorder="1" applyAlignment="1">
      <alignment horizontal="right"/>
      <protection/>
    </xf>
    <xf numFmtId="3" fontId="7" fillId="0" borderId="0" xfId="27" applyNumberFormat="1" applyFont="1" applyFill="1" applyBorder="1" applyAlignment="1">
      <alignment horizontal="right"/>
      <protection/>
    </xf>
    <xf numFmtId="0" fontId="9" fillId="0" borderId="16" xfId="27" applyFont="1" applyBorder="1" applyAlignment="1" applyProtection="1">
      <alignment horizontal="centerContinuous"/>
      <protection/>
    </xf>
    <xf numFmtId="0" fontId="9" fillId="0" borderId="17" xfId="27" applyFont="1" applyBorder="1" applyAlignment="1" applyProtection="1">
      <alignment horizontal="centerContinuous"/>
      <protection/>
    </xf>
    <xf numFmtId="0" fontId="9" fillId="0" borderId="17" xfId="27" applyFont="1" applyBorder="1" applyAlignment="1" applyProtection="1">
      <alignment horizontal="center" wrapText="1"/>
      <protection/>
    </xf>
    <xf numFmtId="3" fontId="7" fillId="0" borderId="18" xfId="27" applyNumberFormat="1" applyFont="1" applyBorder="1" applyAlignment="1">
      <alignment horizontal="right"/>
      <protection/>
    </xf>
    <xf numFmtId="3" fontId="7" fillId="0" borderId="18" xfId="27" applyNumberFormat="1" applyFont="1" applyFill="1" applyBorder="1" applyAlignment="1">
      <alignment horizontal="right"/>
      <protection/>
    </xf>
    <xf numFmtId="3" fontId="7" fillId="0" borderId="19" xfId="27" applyNumberFormat="1" applyFont="1" applyFill="1" applyBorder="1" applyAlignment="1">
      <alignment horizontal="right"/>
      <protection/>
    </xf>
    <xf numFmtId="0" fontId="7" fillId="0" borderId="0" xfId="27" applyFont="1" applyAlignment="1">
      <alignment horizontal="centerContinuous"/>
      <protection/>
    </xf>
    <xf numFmtId="164" fontId="0" fillId="0" borderId="0" xfId="0" applyFill="1" applyAlignment="1">
      <alignment/>
    </xf>
    <xf numFmtId="3" fontId="16" fillId="0" borderId="13" xfId="27" applyNumberFormat="1" applyFont="1" applyBorder="1" applyAlignment="1">
      <alignment horizontal="right"/>
      <protection/>
    </xf>
    <xf numFmtId="0" fontId="9" fillId="0" borderId="2" xfId="27" applyFont="1" applyBorder="1" applyAlignment="1" applyProtection="1">
      <alignment horizontal="center"/>
      <protection/>
    </xf>
    <xf numFmtId="3" fontId="7" fillId="0" borderId="20" xfId="27" applyNumberFormat="1" applyFont="1" applyFill="1" applyBorder="1" applyAlignment="1">
      <alignment horizontal="center"/>
      <protection/>
    </xf>
    <xf numFmtId="168" fontId="7" fillId="0" borderId="18" xfId="27" applyNumberFormat="1" applyFont="1" applyFill="1" applyBorder="1" applyAlignment="1">
      <alignment horizontal="right"/>
      <protection/>
    </xf>
    <xf numFmtId="164" fontId="0" fillId="0" borderId="20" xfId="0" applyBorder="1" applyAlignment="1">
      <alignment/>
    </xf>
    <xf numFmtId="164" fontId="0" fillId="0" borderId="20" xfId="0" applyBorder="1" applyAlignment="1">
      <alignment horizontal="center"/>
    </xf>
    <xf numFmtId="3" fontId="7" fillId="0" borderId="1" xfId="27" applyNumberFormat="1" applyBorder="1" applyAlignment="1">
      <alignment horizontal="center"/>
      <protection/>
    </xf>
    <xf numFmtId="164" fontId="11" fillId="0" borderId="1" xfId="0" applyFont="1" applyBorder="1" applyAlignment="1">
      <alignment/>
    </xf>
    <xf numFmtId="164" fontId="0" fillId="0" borderId="1" xfId="0" applyBorder="1" applyAlignment="1">
      <alignment/>
    </xf>
    <xf numFmtId="0" fontId="9" fillId="0" borderId="21" xfId="27" applyFont="1" applyBorder="1" applyAlignment="1" applyProtection="1">
      <alignment horizontal="center" vertical="center" wrapText="1"/>
      <protection/>
    </xf>
    <xf numFmtId="168" fontId="7" fillId="0" borderId="0" xfId="27" applyNumberFormat="1" applyFont="1" applyAlignment="1">
      <alignment horizontal="right"/>
      <protection/>
    </xf>
    <xf numFmtId="168" fontId="7" fillId="0" borderId="13" xfId="27" applyNumberFormat="1" applyFont="1" applyBorder="1" applyAlignment="1">
      <alignment horizontal="right"/>
      <protection/>
    </xf>
    <xf numFmtId="0" fontId="4" fillId="0" borderId="0" xfId="0" applyNumberFormat="1" applyFont="1" applyFill="1" applyBorder="1" applyAlignment="1">
      <alignment/>
    </xf>
    <xf numFmtId="0" fontId="1" fillId="0" borderId="0" xfId="0" applyNumberFormat="1" applyFont="1" applyFill="1" applyBorder="1" applyAlignment="1">
      <alignment/>
    </xf>
    <xf numFmtId="0" fontId="2" fillId="0" borderId="0" xfId="0" applyNumberFormat="1" applyFont="1" applyFill="1" applyBorder="1" applyAlignment="1">
      <alignment/>
    </xf>
    <xf numFmtId="3" fontId="10" fillId="0" borderId="14" xfId="27" applyNumberFormat="1" applyFont="1" applyFill="1" applyBorder="1" applyAlignment="1">
      <alignment horizontal="center"/>
      <protection/>
    </xf>
    <xf numFmtId="0" fontId="10" fillId="0" borderId="3" xfId="27" applyFont="1" applyBorder="1">
      <alignment/>
      <protection/>
    </xf>
    <xf numFmtId="3" fontId="10" fillId="0" borderId="3" xfId="27" applyNumberFormat="1" applyFont="1" applyFill="1" applyBorder="1" applyAlignment="1">
      <alignment horizontal="center"/>
      <protection/>
    </xf>
    <xf numFmtId="0" fontId="7" fillId="0" borderId="3" xfId="27" applyFont="1" applyBorder="1" applyAlignment="1">
      <alignment horizontal="centerContinuous"/>
      <protection/>
    </xf>
    <xf numFmtId="9" fontId="7" fillId="0" borderId="0" xfId="29" applyFont="1" applyAlignment="1">
      <alignment horizontal="center"/>
    </xf>
    <xf numFmtId="9" fontId="7" fillId="0" borderId="0" xfId="29" applyFont="1" applyFill="1" applyAlignment="1">
      <alignment horizontal="center"/>
    </xf>
    <xf numFmtId="9" fontId="7" fillId="0" borderId="12" xfId="29" applyFont="1" applyFill="1" applyBorder="1" applyAlignment="1">
      <alignment horizontal="center"/>
    </xf>
    <xf numFmtId="9" fontId="7" fillId="0" borderId="0" xfId="29" applyFont="1" applyFill="1" applyBorder="1" applyAlignment="1">
      <alignment horizontal="center"/>
    </xf>
    <xf numFmtId="9" fontId="7" fillId="0" borderId="12" xfId="29" applyFont="1" applyBorder="1" applyAlignment="1">
      <alignment horizontal="center"/>
    </xf>
    <xf numFmtId="9" fontId="7" fillId="0" borderId="0" xfId="29" applyFont="1" applyBorder="1" applyAlignment="1">
      <alignment horizontal="center"/>
    </xf>
    <xf numFmtId="0" fontId="4" fillId="0" borderId="0" xfId="27" applyFont="1" applyBorder="1">
      <alignment/>
      <protection/>
    </xf>
    <xf numFmtId="164" fontId="11" fillId="0" borderId="0" xfId="0" applyFont="1" applyAlignment="1">
      <alignment horizontal="centerContinuous"/>
    </xf>
    <xf numFmtId="164" fontId="11" fillId="0" borderId="3" xfId="0" applyFont="1" applyBorder="1" applyAlignment="1">
      <alignment horizontal="centerContinuous"/>
    </xf>
    <xf numFmtId="9" fontId="7" fillId="0" borderId="22" xfId="29" applyFont="1" applyBorder="1" applyAlignment="1">
      <alignment horizontal="center"/>
    </xf>
    <xf numFmtId="9" fontId="7" fillId="0" borderId="3" xfId="29" applyFont="1" applyBorder="1" applyAlignment="1">
      <alignment horizontal="center"/>
    </xf>
    <xf numFmtId="164" fontId="11" fillId="0" borderId="0" xfId="0" applyFont="1" applyFill="1" applyBorder="1" applyAlignment="1">
      <alignment/>
    </xf>
    <xf numFmtId="164" fontId="11" fillId="0" borderId="0" xfId="0" applyFont="1" applyAlignment="1">
      <alignment wrapText="1"/>
    </xf>
    <xf numFmtId="164" fontId="21" fillId="0" borderId="0" xfId="0" applyFont="1" applyFill="1" applyBorder="1" applyAlignment="1">
      <alignment/>
    </xf>
    <xf numFmtId="164" fontId="21" fillId="0" borderId="0" xfId="0" applyFont="1" applyFill="1" applyBorder="1" applyAlignment="1" applyProtection="1">
      <alignment/>
      <protection/>
    </xf>
    <xf numFmtId="164" fontId="22" fillId="0" borderId="0" xfId="0" applyFont="1" applyFill="1" applyBorder="1" applyAlignment="1" applyProtection="1">
      <alignment horizontal="center"/>
      <protection/>
    </xf>
    <xf numFmtId="164" fontId="7" fillId="0" borderId="0" xfId="0" applyFont="1" applyBorder="1" applyAlignment="1">
      <alignment/>
    </xf>
    <xf numFmtId="164" fontId="7" fillId="2" borderId="23" xfId="0" applyFont="1" applyFill="1" applyBorder="1" applyAlignment="1" applyProtection="1">
      <alignment horizontal="centerContinuous"/>
      <protection/>
    </xf>
    <xf numFmtId="164" fontId="19" fillId="0" borderId="23" xfId="0" applyFont="1" applyFill="1" applyBorder="1" applyAlignment="1" applyProtection="1">
      <alignment horizontal="center"/>
      <protection/>
    </xf>
    <xf numFmtId="164" fontId="21" fillId="2" borderId="23" xfId="0" applyFont="1" applyFill="1" applyBorder="1" applyAlignment="1" applyProtection="1">
      <alignment horizontal="centerContinuous"/>
      <protection/>
    </xf>
    <xf numFmtId="164" fontId="21" fillId="2" borderId="23" xfId="0" applyFont="1" applyFill="1" applyBorder="1" applyAlignment="1" applyProtection="1">
      <alignment horizontal="center"/>
      <protection/>
    </xf>
    <xf numFmtId="164" fontId="21" fillId="3" borderId="0" xfId="28" applyFont="1" applyFill="1" applyBorder="1">
      <alignment/>
      <protection/>
    </xf>
    <xf numFmtId="164" fontId="21" fillId="3" borderId="0" xfId="28" applyFont="1" applyFill="1" applyBorder="1" applyProtection="1">
      <alignment/>
      <protection/>
    </xf>
    <xf numFmtId="164" fontId="21" fillId="3" borderId="0" xfId="28" applyFont="1" applyFill="1" applyBorder="1" applyAlignment="1" applyProtection="1">
      <alignment horizontal="center"/>
      <protection/>
    </xf>
    <xf numFmtId="164" fontId="21" fillId="3" borderId="0" xfId="28" applyFont="1" applyFill="1" applyBorder="1" applyAlignment="1">
      <alignment horizontal="center"/>
      <protection/>
    </xf>
    <xf numFmtId="164" fontId="21" fillId="2" borderId="0" xfId="28" applyFont="1" applyFill="1" applyBorder="1">
      <alignment/>
      <protection/>
    </xf>
    <xf numFmtId="164" fontId="21" fillId="2" borderId="0" xfId="28" applyFont="1" applyFill="1" applyBorder="1" applyProtection="1">
      <alignment/>
      <protection/>
    </xf>
    <xf numFmtId="164" fontId="21" fillId="2" borderId="0" xfId="28" applyFont="1" applyFill="1" applyBorder="1" applyAlignment="1" applyProtection="1">
      <alignment horizontal="center"/>
      <protection/>
    </xf>
    <xf numFmtId="170" fontId="7" fillId="2" borderId="0" xfId="23" applyNumberFormat="1" applyFont="1" applyFill="1" applyBorder="1" applyAlignment="1" applyProtection="1">
      <alignment horizontal="left"/>
      <protection/>
    </xf>
    <xf numFmtId="164" fontId="21" fillId="2" borderId="3" xfId="28" applyFont="1" applyFill="1" applyBorder="1">
      <alignment/>
      <protection/>
    </xf>
    <xf numFmtId="164" fontId="21" fillId="2" borderId="3" xfId="28" applyFont="1" applyFill="1" applyBorder="1" applyAlignment="1" applyProtection="1">
      <alignment horizontal="center"/>
      <protection/>
    </xf>
    <xf numFmtId="164" fontId="7" fillId="4" borderId="0" xfId="21" applyFont="1" applyFill="1" applyBorder="1">
      <alignment/>
      <protection/>
    </xf>
    <xf numFmtId="164" fontId="7" fillId="0" borderId="0" xfId="28" applyFont="1" applyBorder="1">
      <alignment/>
      <protection/>
    </xf>
    <xf numFmtId="164" fontId="21" fillId="5" borderId="0" xfId="28" applyFont="1" applyFill="1" applyBorder="1">
      <alignment/>
      <protection/>
    </xf>
    <xf numFmtId="164" fontId="21" fillId="5" borderId="0" xfId="28" applyFont="1" applyFill="1" applyBorder="1" applyProtection="1">
      <alignment/>
      <protection/>
    </xf>
    <xf numFmtId="164" fontId="21" fillId="5" borderId="0" xfId="28" applyFont="1" applyFill="1" applyBorder="1" applyAlignment="1" applyProtection="1">
      <alignment horizontal="center"/>
      <protection/>
    </xf>
    <xf numFmtId="164" fontId="21" fillId="6" borderId="0" xfId="28" applyFont="1" applyFill="1" applyBorder="1">
      <alignment/>
      <protection/>
    </xf>
    <xf numFmtId="164" fontId="21" fillId="6" borderId="0" xfId="28" applyFont="1" applyFill="1" applyBorder="1" applyProtection="1">
      <alignment/>
      <protection/>
    </xf>
    <xf numFmtId="164" fontId="21" fillId="6" borderId="0" xfId="28" applyFont="1" applyFill="1" applyBorder="1" applyAlignment="1" applyProtection="1">
      <alignment horizontal="center"/>
      <protection/>
    </xf>
    <xf numFmtId="3" fontId="7" fillId="2" borderId="23" xfId="28" applyNumberFormat="1" applyFont="1" applyFill="1" applyBorder="1" applyAlignment="1">
      <alignment horizontal="right"/>
      <protection/>
    </xf>
    <xf numFmtId="164" fontId="21" fillId="7" borderId="0" xfId="28" applyFont="1" applyFill="1" applyBorder="1">
      <alignment/>
      <protection/>
    </xf>
    <xf numFmtId="164" fontId="21" fillId="7" borderId="0" xfId="28" applyFont="1" applyFill="1" applyBorder="1" applyProtection="1">
      <alignment/>
      <protection/>
    </xf>
    <xf numFmtId="164" fontId="21" fillId="7" borderId="0" xfId="28" applyFont="1" applyFill="1" applyBorder="1" applyAlignment="1" applyProtection="1">
      <alignment horizontal="center"/>
      <protection/>
    </xf>
    <xf numFmtId="164" fontId="21" fillId="8" borderId="0" xfId="28" applyFont="1" applyFill="1" applyBorder="1">
      <alignment/>
      <protection/>
    </xf>
    <xf numFmtId="164" fontId="21" fillId="8" borderId="0" xfId="28" applyFont="1" applyFill="1" applyBorder="1" applyProtection="1">
      <alignment/>
      <protection/>
    </xf>
    <xf numFmtId="164" fontId="21" fillId="8" borderId="0" xfId="28" applyFont="1" applyFill="1" applyBorder="1" applyAlignment="1" applyProtection="1">
      <alignment horizontal="center"/>
      <protection/>
    </xf>
    <xf numFmtId="164" fontId="21" fillId="8" borderId="0" xfId="28" applyFont="1" applyFill="1" applyBorder="1" applyAlignment="1">
      <alignment horizontal="center"/>
      <protection/>
    </xf>
    <xf numFmtId="164" fontId="7" fillId="8" borderId="0" xfId="28" applyFont="1" applyFill="1" applyBorder="1" applyAlignment="1" applyProtection="1">
      <alignment horizontal="center"/>
      <protection/>
    </xf>
    <xf numFmtId="164" fontId="21" fillId="2" borderId="0" xfId="22" applyFont="1" applyFill="1" applyBorder="1">
      <alignment/>
      <protection/>
    </xf>
    <xf numFmtId="164" fontId="21" fillId="4" borderId="0" xfId="28" applyFont="1" applyFill="1" applyBorder="1">
      <alignment/>
      <protection/>
    </xf>
    <xf numFmtId="164" fontId="21" fillId="4" borderId="0" xfId="28" applyFont="1" applyFill="1" applyBorder="1" applyAlignment="1">
      <alignment horizontal="center"/>
      <protection/>
    </xf>
    <xf numFmtId="164" fontId="21" fillId="4" borderId="0" xfId="28" applyFont="1" applyFill="1" applyBorder="1" applyAlignment="1" applyProtection="1">
      <alignment horizontal="center"/>
      <protection/>
    </xf>
    <xf numFmtId="164" fontId="21" fillId="9" borderId="0" xfId="28" applyFont="1" applyFill="1" applyBorder="1">
      <alignment/>
      <protection/>
    </xf>
    <xf numFmtId="164" fontId="21" fillId="9" borderId="0" xfId="28" applyFont="1" applyFill="1" applyBorder="1" applyAlignment="1">
      <alignment horizontal="center"/>
      <protection/>
    </xf>
    <xf numFmtId="164" fontId="21" fillId="9" borderId="0" xfId="28" applyFont="1" applyFill="1" applyBorder="1" applyAlignment="1" applyProtection="1">
      <alignment horizontal="center"/>
      <protection/>
    </xf>
    <xf numFmtId="164" fontId="21" fillId="5" borderId="0" xfId="28" applyFont="1" applyFill="1" applyBorder="1" applyAlignment="1">
      <alignment horizontal="center"/>
      <protection/>
    </xf>
    <xf numFmtId="164" fontId="21" fillId="7" borderId="0" xfId="28" applyFont="1" applyFill="1" applyBorder="1" applyAlignment="1">
      <alignment horizontal="center"/>
      <protection/>
    </xf>
    <xf numFmtId="3" fontId="19" fillId="0" borderId="23" xfId="28" applyNumberFormat="1" applyFont="1" applyFill="1" applyBorder="1" applyAlignment="1">
      <alignment horizontal="right"/>
      <protection/>
    </xf>
    <xf numFmtId="164" fontId="21" fillId="4" borderId="0" xfId="22" applyFont="1" applyFill="1" applyBorder="1">
      <alignment/>
      <protection/>
    </xf>
    <xf numFmtId="164" fontId="21" fillId="2" borderId="0" xfId="21" applyFont="1" applyFill="1" applyBorder="1" applyAlignment="1" applyProtection="1">
      <alignment horizontal="center"/>
      <protection/>
    </xf>
    <xf numFmtId="0" fontId="7" fillId="0" borderId="0" xfId="28" applyNumberFormat="1" applyFont="1" applyBorder="1" applyAlignment="1">
      <alignment/>
      <protection/>
    </xf>
    <xf numFmtId="164" fontId="21" fillId="0" borderId="0" xfId="28" applyFont="1" applyFill="1" applyBorder="1">
      <alignment/>
      <protection/>
    </xf>
    <xf numFmtId="164" fontId="21" fillId="0" borderId="0" xfId="28" applyFont="1" applyFill="1" applyBorder="1" applyProtection="1">
      <alignment/>
      <protection/>
    </xf>
    <xf numFmtId="164" fontId="21" fillId="0" borderId="0" xfId="28" applyFont="1" applyFill="1" applyBorder="1" applyAlignment="1" applyProtection="1">
      <alignment horizontal="center"/>
      <protection/>
    </xf>
    <xf numFmtId="164" fontId="21" fillId="3" borderId="0" xfId="20" applyFont="1" applyFill="1" applyBorder="1" applyAlignment="1" applyProtection="1">
      <alignment horizontal="center"/>
      <protection/>
    </xf>
    <xf numFmtId="164" fontId="7" fillId="4" borderId="0" xfId="21" applyFont="1" applyFill="1" applyBorder="1" applyAlignment="1" applyProtection="1">
      <alignment horizontal="center"/>
      <protection/>
    </xf>
    <xf numFmtId="164" fontId="21" fillId="0" borderId="0" xfId="0" applyFont="1" applyFill="1" applyBorder="1" applyAlignment="1" applyProtection="1">
      <alignment horizontal="center"/>
      <protection/>
    </xf>
    <xf numFmtId="164" fontId="10" fillId="0" borderId="23" xfId="28" applyFont="1" applyFill="1" applyBorder="1" applyAlignment="1" applyProtection="1">
      <alignment horizontal="left"/>
      <protection/>
    </xf>
    <xf numFmtId="164" fontId="7" fillId="2" borderId="23" xfId="28" applyFont="1" applyFill="1" applyBorder="1" applyAlignment="1" applyProtection="1">
      <alignment horizontal="center" wrapText="1"/>
      <protection/>
    </xf>
    <xf numFmtId="164" fontId="19" fillId="0" borderId="23" xfId="28" applyFont="1" applyFill="1" applyBorder="1" applyAlignment="1">
      <alignment horizontal="center"/>
      <protection/>
    </xf>
    <xf numFmtId="164" fontId="19" fillId="0" borderId="23" xfId="28" applyFont="1" applyFill="1" applyBorder="1" applyAlignment="1" applyProtection="1">
      <alignment horizontal="center" wrapText="1"/>
      <protection/>
    </xf>
    <xf numFmtId="164" fontId="7" fillId="0" borderId="23" xfId="28" applyFont="1" applyFill="1" applyBorder="1" applyAlignment="1">
      <alignment horizontal="center"/>
      <protection/>
    </xf>
    <xf numFmtId="164" fontId="22" fillId="0" borderId="23" xfId="28" applyFont="1" applyFill="1" applyBorder="1">
      <alignment/>
      <protection/>
    </xf>
    <xf numFmtId="164" fontId="7" fillId="0" borderId="23" xfId="28" applyFont="1" applyFill="1" applyBorder="1">
      <alignment/>
      <protection/>
    </xf>
    <xf numFmtId="164" fontId="7" fillId="0" borderId="23" xfId="28" applyFont="1" applyFill="1" applyBorder="1" applyAlignment="1" applyProtection="1">
      <alignment horizontal="centerContinuous"/>
      <protection/>
    </xf>
    <xf numFmtId="164" fontId="23" fillId="0" borderId="13" xfId="28" applyFont="1" applyFill="1" applyBorder="1" applyAlignment="1" applyProtection="1">
      <alignment horizontal="center"/>
      <protection/>
    </xf>
    <xf numFmtId="3" fontId="7" fillId="2" borderId="24" xfId="28" applyNumberFormat="1" applyFont="1" applyFill="1" applyBorder="1" applyAlignment="1">
      <alignment horizontal="right"/>
      <protection/>
    </xf>
    <xf numFmtId="3" fontId="19" fillId="0" borderId="24" xfId="28" applyNumberFormat="1" applyFont="1" applyFill="1" applyBorder="1" applyAlignment="1">
      <alignment horizontal="right"/>
      <protection/>
    </xf>
    <xf numFmtId="3" fontId="7" fillId="4" borderId="23" xfId="28" applyNumberFormat="1" applyFont="1" applyFill="1" applyBorder="1" applyAlignment="1">
      <alignment horizontal="right"/>
      <protection/>
    </xf>
    <xf numFmtId="164" fontId="21" fillId="2" borderId="3" xfId="28" applyFont="1" applyFill="1" applyBorder="1" applyProtection="1">
      <alignment/>
      <protection/>
    </xf>
    <xf numFmtId="0" fontId="7" fillId="2" borderId="0" xfId="15" applyNumberFormat="1" applyFont="1" applyFill="1" applyBorder="1" applyAlignment="1" applyProtection="1">
      <alignment horizontal="center"/>
      <protection/>
    </xf>
    <xf numFmtId="164" fontId="11" fillId="0" borderId="0" xfId="0" applyFont="1" applyFill="1" applyAlignment="1">
      <alignment/>
    </xf>
    <xf numFmtId="172" fontId="11" fillId="0" borderId="0" xfId="0" applyNumberFormat="1" applyFont="1" applyFill="1" applyAlignment="1">
      <alignment/>
    </xf>
    <xf numFmtId="3" fontId="19" fillId="0" borderId="23" xfId="0" applyNumberFormat="1" applyFont="1" applyBorder="1" applyAlignment="1">
      <alignment horizontal="right"/>
    </xf>
    <xf numFmtId="0" fontId="10" fillId="0" borderId="14" xfId="27" applyFont="1" applyBorder="1" applyAlignment="1" applyProtection="1">
      <alignment horizontal="centerContinuous" wrapText="1"/>
      <protection/>
    </xf>
    <xf numFmtId="164" fontId="7" fillId="0" borderId="3" xfId="0" applyFont="1" applyBorder="1" applyAlignment="1">
      <alignment horizontal="centerContinuous"/>
    </xf>
    <xf numFmtId="0" fontId="10" fillId="0" borderId="0" xfId="27" applyFont="1" applyAlignment="1">
      <alignment horizontal="centerContinuous"/>
      <protection/>
    </xf>
    <xf numFmtId="164" fontId="27" fillId="0" borderId="0" xfId="0" applyFont="1" applyAlignment="1">
      <alignment/>
    </xf>
    <xf numFmtId="0" fontId="10" fillId="0" borderId="0" xfId="27" applyFont="1" applyAlignment="1">
      <alignment horizontal="center"/>
      <protection/>
    </xf>
    <xf numFmtId="164" fontId="7" fillId="0" borderId="0" xfId="0" applyFont="1" applyAlignment="1">
      <alignment horizontal="centerContinuous"/>
    </xf>
    <xf numFmtId="164" fontId="7" fillId="0" borderId="0" xfId="0" applyFont="1" applyFill="1" applyAlignment="1">
      <alignment/>
    </xf>
    <xf numFmtId="164" fontId="27" fillId="0" borderId="0" xfId="0" applyFont="1" applyAlignment="1">
      <alignment/>
    </xf>
    <xf numFmtId="0" fontId="7" fillId="0" borderId="0" xfId="27" applyFont="1" applyAlignment="1">
      <alignment/>
      <protection/>
    </xf>
    <xf numFmtId="164" fontId="27" fillId="0" borderId="25" xfId="0" applyFont="1" applyBorder="1" applyAlignment="1">
      <alignment/>
    </xf>
    <xf numFmtId="0" fontId="10" fillId="0" borderId="21" xfId="27" applyFont="1" applyBorder="1" applyAlignment="1" applyProtection="1">
      <alignment horizontal="centerContinuous"/>
      <protection/>
    </xf>
    <xf numFmtId="0" fontId="10" fillId="0" borderId="17" xfId="27" applyFont="1" applyBorder="1" applyAlignment="1" applyProtection="1">
      <alignment horizontal="centerContinuous"/>
      <protection/>
    </xf>
    <xf numFmtId="0" fontId="10" fillId="0" borderId="16" xfId="27" applyFont="1" applyBorder="1" applyAlignment="1" applyProtection="1">
      <alignment horizontal="centerContinuous"/>
      <protection/>
    </xf>
    <xf numFmtId="0" fontId="10" fillId="0" borderId="4" xfId="27" applyFont="1" applyBorder="1" applyAlignment="1" applyProtection="1">
      <alignment horizontal="centerContinuous"/>
      <protection/>
    </xf>
    <xf numFmtId="0" fontId="10" fillId="0" borderId="3" xfId="27" applyFont="1" applyBorder="1" applyAlignment="1" applyProtection="1">
      <alignment horizontal="centerContinuous" wrapText="1"/>
      <protection/>
    </xf>
    <xf numFmtId="0" fontId="10" fillId="0" borderId="26" xfId="27" applyFont="1" applyBorder="1" applyAlignment="1" applyProtection="1">
      <alignment horizontal="centerContinuous" wrapText="1"/>
      <protection/>
    </xf>
    <xf numFmtId="164" fontId="7" fillId="0" borderId="1" xfId="0" applyFont="1" applyBorder="1" applyAlignment="1">
      <alignment horizontal="centerContinuous"/>
    </xf>
    <xf numFmtId="164" fontId="27" fillId="0" borderId="3" xfId="0" applyFont="1" applyBorder="1" applyAlignment="1">
      <alignment/>
    </xf>
    <xf numFmtId="0" fontId="10" fillId="0" borderId="27" xfId="27" applyFont="1" applyBorder="1" applyAlignment="1" applyProtection="1">
      <alignment horizontal="centerContinuous" wrapText="1"/>
      <protection/>
    </xf>
    <xf numFmtId="0" fontId="10" fillId="0" borderId="28" xfId="27" applyFont="1" applyBorder="1" applyAlignment="1" applyProtection="1">
      <alignment horizontal="centerContinuous" wrapText="1"/>
      <protection/>
    </xf>
    <xf numFmtId="164" fontId="25" fillId="0" borderId="0" xfId="0" applyFont="1" applyBorder="1" applyAlignment="1">
      <alignment/>
    </xf>
    <xf numFmtId="37" fontId="1" fillId="0" borderId="15" xfId="26" applyNumberFormat="1" applyFont="1" applyFill="1" applyBorder="1" applyAlignment="1" applyProtection="1">
      <alignment horizontal="left" vertical="top" wrapText="1"/>
      <protection/>
    </xf>
    <xf numFmtId="37" fontId="1" fillId="0" borderId="29" xfId="26" applyNumberFormat="1" applyFont="1" applyFill="1" applyBorder="1" applyAlignment="1" applyProtection="1">
      <alignment vertical="top" wrapText="1"/>
      <protection locked="0"/>
    </xf>
    <xf numFmtId="37" fontId="1" fillId="0" borderId="15" xfId="26" applyNumberFormat="1" applyFont="1" applyFill="1" applyBorder="1" applyAlignment="1" applyProtection="1">
      <alignment vertical="top" wrapText="1"/>
      <protection locked="0"/>
    </xf>
    <xf numFmtId="164" fontId="4" fillId="0" borderId="15" xfId="0" applyFont="1" applyFill="1" applyBorder="1" applyAlignment="1">
      <alignment vertical="top" wrapText="1"/>
    </xf>
    <xf numFmtId="164" fontId="18" fillId="0" borderId="0" xfId="0" applyFont="1" applyFill="1" applyBorder="1" applyAlignment="1">
      <alignment/>
    </xf>
    <xf numFmtId="37" fontId="1" fillId="0" borderId="15" xfId="26" applyNumberFormat="1" applyFont="1" applyBorder="1" applyAlignment="1" applyProtection="1">
      <alignment horizontal="left" vertical="top" wrapText="1"/>
      <protection/>
    </xf>
    <xf numFmtId="37" fontId="1" fillId="10" borderId="29" xfId="26" applyNumberFormat="1" applyFont="1" applyFill="1" applyBorder="1" applyAlignment="1" applyProtection="1">
      <alignment vertical="top" wrapText="1"/>
      <protection locked="0"/>
    </xf>
    <xf numFmtId="37" fontId="1" fillId="10" borderId="15" xfId="26" applyNumberFormat="1" applyFont="1" applyFill="1" applyBorder="1" applyAlignment="1" applyProtection="1">
      <alignment vertical="top" wrapText="1"/>
      <protection locked="0"/>
    </xf>
    <xf numFmtId="37" fontId="4" fillId="0" borderId="29" xfId="26" applyNumberFormat="1" applyFont="1" applyFill="1" applyBorder="1" applyAlignment="1" applyProtection="1">
      <alignment vertical="top" wrapText="1"/>
      <protection/>
    </xf>
    <xf numFmtId="37" fontId="4" fillId="0" borderId="15" xfId="26" applyNumberFormat="1" applyFont="1" applyFill="1" applyBorder="1" applyAlignment="1" applyProtection="1">
      <alignment vertical="top" wrapText="1"/>
      <protection locked="0"/>
    </xf>
    <xf numFmtId="0" fontId="4" fillId="0" borderId="15" xfId="0" applyNumberFormat="1" applyFont="1" applyFill="1" applyBorder="1" applyAlignment="1">
      <alignment vertical="top" wrapText="1"/>
    </xf>
    <xf numFmtId="37" fontId="1" fillId="0" borderId="15" xfId="26" applyNumberFormat="1" applyFont="1" applyFill="1" applyBorder="1" applyAlignment="1" applyProtection="1">
      <alignment vertical="top" wrapText="1"/>
      <protection/>
    </xf>
    <xf numFmtId="0" fontId="1" fillId="0" borderId="15" xfId="0" applyNumberFormat="1" applyFont="1" applyFill="1" applyBorder="1" applyAlignment="1">
      <alignment vertical="top" wrapText="1"/>
    </xf>
    <xf numFmtId="37" fontId="1" fillId="0" borderId="30" xfId="26" applyNumberFormat="1" applyFont="1" applyFill="1" applyBorder="1" applyAlignment="1" applyProtection="1">
      <alignment horizontal="left" vertical="top" wrapText="1"/>
      <protection/>
    </xf>
    <xf numFmtId="37" fontId="1" fillId="0" borderId="22" xfId="26" applyNumberFormat="1" applyFont="1" applyFill="1" applyBorder="1" applyAlignment="1" applyProtection="1">
      <alignment vertical="top" wrapText="1"/>
      <protection/>
    </xf>
    <xf numFmtId="37" fontId="1" fillId="0" borderId="30" xfId="26" applyNumberFormat="1" applyFont="1" applyFill="1" applyBorder="1" applyAlignment="1" applyProtection="1">
      <alignment vertical="top" wrapText="1"/>
      <protection/>
    </xf>
    <xf numFmtId="164" fontId="4" fillId="0" borderId="30" xfId="0" applyFont="1" applyFill="1" applyBorder="1" applyAlignment="1">
      <alignment vertical="top" wrapText="1"/>
    </xf>
    <xf numFmtId="0" fontId="1" fillId="0" borderId="15" xfId="24" applyNumberFormat="1" applyFont="1" applyFill="1" applyBorder="1" applyAlignment="1">
      <alignment vertical="top" wrapText="1"/>
      <protection/>
    </xf>
    <xf numFmtId="0" fontId="4" fillId="0" borderId="15" xfId="24" applyFont="1" applyFill="1" applyBorder="1" applyAlignment="1">
      <alignment vertical="top" wrapText="1"/>
      <protection/>
    </xf>
    <xf numFmtId="0" fontId="18" fillId="0" borderId="0" xfId="24" applyFont="1" applyFill="1" applyBorder="1">
      <alignment/>
      <protection/>
    </xf>
    <xf numFmtId="37" fontId="1" fillId="0" borderId="15" xfId="26" applyNumberFormat="1" applyFont="1" applyFill="1" applyBorder="1" applyAlignment="1" applyProtection="1">
      <alignment horizontal="left" vertical="top" wrapText="1"/>
      <protection locked="0"/>
    </xf>
    <xf numFmtId="0" fontId="1" fillId="0" borderId="15" xfId="0" applyNumberFormat="1" applyFont="1" applyFill="1" applyBorder="1" applyAlignment="1">
      <alignment horizontal="left" vertical="top" wrapText="1"/>
    </xf>
    <xf numFmtId="164" fontId="4" fillId="0" borderId="15" xfId="0" applyFont="1" applyFill="1" applyBorder="1" applyAlignment="1">
      <alignment horizontal="left" vertical="top" wrapText="1"/>
    </xf>
    <xf numFmtId="37" fontId="1" fillId="0" borderId="29" xfId="26" applyNumberFormat="1" applyFont="1" applyFill="1" applyBorder="1" applyAlignment="1" applyProtection="1">
      <alignment vertical="top" wrapText="1"/>
      <protection/>
    </xf>
    <xf numFmtId="164" fontId="18" fillId="0" borderId="0" xfId="0" applyFont="1" applyFill="1" applyAlignment="1">
      <alignment/>
    </xf>
    <xf numFmtId="164" fontId="1" fillId="0" borderId="29" xfId="26" applyNumberFormat="1" applyFont="1" applyFill="1" applyBorder="1" applyAlignment="1" applyProtection="1">
      <alignment vertical="top" wrapText="1"/>
      <protection locked="0"/>
    </xf>
    <xf numFmtId="164" fontId="1" fillId="0" borderId="15" xfId="26" applyNumberFormat="1" applyFont="1" applyFill="1" applyBorder="1" applyAlignment="1" applyProtection="1">
      <alignment vertical="top" wrapText="1"/>
      <protection locked="0"/>
    </xf>
    <xf numFmtId="164" fontId="1" fillId="0" borderId="15" xfId="0" applyFont="1" applyFill="1" applyBorder="1" applyAlignment="1">
      <alignment vertical="top" wrapText="1"/>
    </xf>
    <xf numFmtId="37" fontId="4" fillId="0" borderId="15" xfId="0" applyNumberFormat="1" applyFont="1" applyBorder="1" applyAlignment="1" applyProtection="1">
      <alignment horizontal="left" vertical="top" wrapText="1"/>
      <protection/>
    </xf>
    <xf numFmtId="37" fontId="1" fillId="0" borderId="15" xfId="0" applyNumberFormat="1" applyFont="1" applyFill="1" applyBorder="1" applyAlignment="1" applyProtection="1">
      <alignment horizontal="left" vertical="top" wrapText="1"/>
      <protection locked="0"/>
    </xf>
    <xf numFmtId="164" fontId="4" fillId="0" borderId="15" xfId="0" applyNumberFormat="1" applyFont="1" applyFill="1" applyBorder="1" applyAlignment="1" applyProtection="1">
      <alignment horizontal="left" vertical="top" wrapText="1"/>
      <protection/>
    </xf>
    <xf numFmtId="164" fontId="4" fillId="0" borderId="0" xfId="20" applyFont="1" applyAlignment="1">
      <alignment horizontal="left" wrapText="1"/>
      <protection/>
    </xf>
    <xf numFmtId="37" fontId="1" fillId="0" borderId="24" xfId="26" applyNumberFormat="1" applyFont="1" applyFill="1" applyBorder="1" applyAlignment="1" applyProtection="1">
      <alignment horizontal="left" vertical="top" wrapText="1"/>
      <protection/>
    </xf>
    <xf numFmtId="37" fontId="1" fillId="0" borderId="31" xfId="26" applyNumberFormat="1" applyFont="1" applyFill="1" applyBorder="1" applyAlignment="1" applyProtection="1">
      <alignment vertical="top" wrapText="1"/>
      <protection locked="0"/>
    </xf>
    <xf numFmtId="37" fontId="1" fillId="0" borderId="24" xfId="26" applyNumberFormat="1" applyFont="1" applyFill="1" applyBorder="1" applyAlignment="1" applyProtection="1">
      <alignment vertical="top" wrapText="1"/>
      <protection locked="0"/>
    </xf>
    <xf numFmtId="0" fontId="1" fillId="0" borderId="24" xfId="0" applyNumberFormat="1" applyFont="1" applyFill="1" applyBorder="1" applyAlignment="1">
      <alignment vertical="top" wrapText="1"/>
    </xf>
    <xf numFmtId="164" fontId="4" fillId="0" borderId="24" xfId="0" applyFont="1" applyFill="1" applyBorder="1" applyAlignment="1">
      <alignment vertical="top" wrapText="1"/>
    </xf>
    <xf numFmtId="9" fontId="7" fillId="0" borderId="3" xfId="29" applyFont="1" applyFill="1" applyBorder="1" applyAlignment="1">
      <alignment horizontal="center"/>
    </xf>
    <xf numFmtId="9" fontId="7" fillId="0" borderId="31" xfId="29" applyFont="1" applyFill="1" applyBorder="1" applyAlignment="1">
      <alignment horizontal="center"/>
    </xf>
    <xf numFmtId="0" fontId="10" fillId="0" borderId="3" xfId="27" applyFont="1" applyFill="1" applyBorder="1" applyAlignment="1">
      <alignment horizontal="left"/>
      <protection/>
    </xf>
    <xf numFmtId="0" fontId="7" fillId="0" borderId="1" xfId="27" applyBorder="1" applyAlignment="1">
      <alignment horizontal="center"/>
      <protection/>
    </xf>
    <xf numFmtId="0" fontId="7" fillId="0" borderId="0" xfId="27" applyAlignment="1">
      <alignment horizontal="center"/>
      <protection/>
    </xf>
    <xf numFmtId="0" fontId="10" fillId="0" borderId="3" xfId="27" applyFont="1" applyBorder="1" applyAlignment="1" applyProtection="1">
      <alignment horizontal="center"/>
      <protection/>
    </xf>
    <xf numFmtId="0" fontId="9" fillId="0" borderId="21" xfId="27" applyFont="1" applyBorder="1" applyAlignment="1" applyProtection="1">
      <alignment horizontal="center"/>
      <protection/>
    </xf>
    <xf numFmtId="0" fontId="9" fillId="0" borderId="32" xfId="27" applyFont="1" applyBorder="1" applyAlignment="1" applyProtection="1">
      <alignment horizontal="center"/>
      <protection/>
    </xf>
    <xf numFmtId="0" fontId="7" fillId="0" borderId="3" xfId="27" applyFont="1" applyBorder="1" applyAlignment="1">
      <alignment horizontal="center"/>
      <protection/>
    </xf>
    <xf numFmtId="0" fontId="9" fillId="0" borderId="16" xfId="27" applyFont="1" applyBorder="1" applyAlignment="1" applyProtection="1">
      <alignment horizontal="center"/>
      <protection/>
    </xf>
    <xf numFmtId="0" fontId="9" fillId="0" borderId="33" xfId="27" applyFont="1" applyBorder="1" applyAlignment="1" applyProtection="1">
      <alignment horizontal="center"/>
      <protection/>
    </xf>
    <xf numFmtId="164" fontId="7" fillId="0" borderId="0" xfId="19" applyFont="1" applyBorder="1">
      <alignment/>
      <protection/>
    </xf>
    <xf numFmtId="3" fontId="19" fillId="0" borderId="23" xfId="28" applyNumberFormat="1" applyFont="1" applyFill="1" applyBorder="1" applyAlignment="1" applyProtection="1">
      <alignment horizontal="right"/>
      <protection/>
    </xf>
    <xf numFmtId="164" fontId="7" fillId="2" borderId="0" xfId="21" applyFont="1" applyFill="1" applyBorder="1" applyAlignment="1">
      <alignment horizontal="center"/>
      <protection/>
    </xf>
    <xf numFmtId="0" fontId="7" fillId="4" borderId="0" xfId="19" applyNumberFormat="1" applyFont="1" applyFill="1" applyBorder="1" applyAlignment="1">
      <alignment/>
      <protection/>
    </xf>
    <xf numFmtId="0" fontId="7" fillId="4" borderId="0" xfId="19" applyNumberFormat="1" applyFont="1" applyFill="1" applyBorder="1" applyAlignment="1">
      <alignment horizontal="center"/>
      <protection/>
    </xf>
    <xf numFmtId="3" fontId="19" fillId="0" borderId="12" xfId="28" applyNumberFormat="1" applyFont="1" applyFill="1" applyBorder="1" applyAlignment="1">
      <alignment horizontal="right"/>
      <protection/>
    </xf>
    <xf numFmtId="164" fontId="21" fillId="3" borderId="1" xfId="28" applyFont="1" applyFill="1" applyBorder="1">
      <alignment/>
      <protection/>
    </xf>
    <xf numFmtId="164" fontId="21" fillId="3" borderId="1" xfId="28" applyFont="1" applyFill="1" applyBorder="1" applyProtection="1">
      <alignment/>
      <protection/>
    </xf>
    <xf numFmtId="164" fontId="21" fillId="3" borderId="1" xfId="28" applyFont="1" applyFill="1" applyBorder="1" applyAlignment="1" applyProtection="1">
      <alignment horizontal="center"/>
      <protection/>
    </xf>
    <xf numFmtId="164" fontId="7" fillId="2" borderId="0" xfId="28" applyFont="1" applyFill="1" applyBorder="1">
      <alignment/>
      <protection/>
    </xf>
    <xf numFmtId="164" fontId="7" fillId="2" borderId="0" xfId="28" applyFont="1" applyFill="1" applyBorder="1" applyAlignment="1">
      <alignment horizontal="center"/>
      <protection/>
    </xf>
    <xf numFmtId="164" fontId="7" fillId="2" borderId="0" xfId="28" applyFont="1" applyFill="1" applyBorder="1" applyAlignment="1" applyProtection="1">
      <alignment horizontal="center"/>
      <protection/>
    </xf>
    <xf numFmtId="164" fontId="7" fillId="2" borderId="0" xfId="22" applyFont="1" applyFill="1" applyBorder="1">
      <alignment/>
      <protection/>
    </xf>
    <xf numFmtId="1" fontId="7" fillId="2" borderId="0" xfId="22" applyNumberFormat="1" applyFont="1" applyFill="1" applyBorder="1" applyAlignment="1">
      <alignment horizontal="center"/>
      <protection/>
    </xf>
    <xf numFmtId="164" fontId="7" fillId="2" borderId="0" xfId="21" applyFont="1" applyFill="1" applyBorder="1" applyAlignment="1" applyProtection="1">
      <alignment horizontal="center"/>
      <protection/>
    </xf>
    <xf numFmtId="164" fontId="21" fillId="9" borderId="0" xfId="22" applyFont="1" applyFill="1" applyBorder="1">
      <alignment/>
      <protection/>
    </xf>
    <xf numFmtId="164" fontId="21" fillId="9" borderId="0" xfId="22" applyFont="1" applyFill="1" applyBorder="1" applyAlignment="1">
      <alignment horizontal="center"/>
      <protection/>
    </xf>
    <xf numFmtId="0" fontId="21" fillId="9" borderId="0" xfId="28" applyNumberFormat="1" applyFont="1" applyFill="1" applyBorder="1" applyAlignment="1">
      <alignment horizontal="center"/>
      <protection/>
    </xf>
    <xf numFmtId="164" fontId="21" fillId="6" borderId="0" xfId="19" applyFont="1" applyFill="1" applyBorder="1" applyAlignment="1">
      <alignment/>
      <protection/>
    </xf>
    <xf numFmtId="164" fontId="21" fillId="6" borderId="0" xfId="19" applyFont="1" applyFill="1" applyBorder="1" applyAlignment="1">
      <alignment horizontal="center"/>
      <protection/>
    </xf>
    <xf numFmtId="164" fontId="0" fillId="0" borderId="0" xfId="19" applyFont="1" applyBorder="1" applyAlignment="1">
      <alignment/>
      <protection/>
    </xf>
    <xf numFmtId="164" fontId="7" fillId="3" borderId="0" xfId="28" applyFont="1" applyFill="1" applyBorder="1" applyAlignment="1" applyProtection="1">
      <alignment horizontal="center"/>
      <protection/>
    </xf>
    <xf numFmtId="164" fontId="7" fillId="2" borderId="0" xfId="19" applyFont="1" applyFill="1" applyBorder="1">
      <alignment/>
      <protection/>
    </xf>
    <xf numFmtId="0" fontId="7" fillId="2" borderId="0" xfId="19" applyNumberFormat="1" applyFont="1" applyFill="1" applyBorder="1" applyAlignment="1">
      <alignment horizontal="center"/>
      <protection/>
    </xf>
    <xf numFmtId="164" fontId="7" fillId="5" borderId="0" xfId="28" applyFont="1" applyFill="1" applyBorder="1">
      <alignment/>
      <protection/>
    </xf>
    <xf numFmtId="164" fontId="21" fillId="8" borderId="0" xfId="22" applyFont="1" applyFill="1" applyBorder="1">
      <alignment/>
      <protection/>
    </xf>
    <xf numFmtId="164" fontId="7" fillId="8" borderId="0" xfId="22" applyFont="1" applyFill="1" applyBorder="1">
      <alignment/>
      <protection/>
    </xf>
    <xf numFmtId="164" fontId="7" fillId="6" borderId="0" xfId="28" applyFont="1" applyFill="1" applyBorder="1">
      <alignment/>
      <protection/>
    </xf>
    <xf numFmtId="164" fontId="7" fillId="6" borderId="0" xfId="28" applyFont="1" applyFill="1" applyBorder="1" applyAlignment="1">
      <alignment horizontal="center"/>
      <protection/>
    </xf>
    <xf numFmtId="164" fontId="7" fillId="2" borderId="3" xfId="21" applyFont="1" applyFill="1" applyBorder="1" applyAlignment="1">
      <alignment horizontal="center"/>
      <protection/>
    </xf>
    <xf numFmtId="164" fontId="22" fillId="0" borderId="0" xfId="0" applyFont="1" applyFill="1" applyBorder="1" applyAlignment="1" applyProtection="1">
      <alignment/>
      <protection/>
    </xf>
    <xf numFmtId="164" fontId="22" fillId="0" borderId="12" xfId="0" applyFont="1" applyFill="1" applyBorder="1" applyAlignment="1" applyProtection="1">
      <alignment horizontal="center"/>
      <protection/>
    </xf>
    <xf numFmtId="164" fontId="7" fillId="0" borderId="1" xfId="19" applyFont="1" applyBorder="1">
      <alignment/>
      <protection/>
    </xf>
    <xf numFmtId="164" fontId="21" fillId="3" borderId="0" xfId="22" applyFont="1" applyFill="1" applyBorder="1">
      <alignment/>
      <protection/>
    </xf>
    <xf numFmtId="164" fontId="7" fillId="3" borderId="0" xfId="22" applyFont="1" applyFill="1" applyBorder="1">
      <alignment/>
      <protection/>
    </xf>
    <xf numFmtId="1" fontId="7" fillId="3" borderId="0" xfId="22" applyNumberFormat="1" applyFont="1" applyFill="1" applyBorder="1" applyAlignment="1">
      <alignment horizontal="right"/>
      <protection/>
    </xf>
    <xf numFmtId="3" fontId="19" fillId="0" borderId="23" xfId="15" applyNumberFormat="1" applyFont="1" applyFill="1" applyBorder="1" applyAlignment="1">
      <alignment horizontal="right"/>
    </xf>
    <xf numFmtId="164" fontId="7" fillId="3" borderId="0" xfId="21" applyFont="1" applyFill="1" applyBorder="1" applyAlignment="1">
      <alignment horizontal="center"/>
      <protection/>
    </xf>
    <xf numFmtId="3" fontId="7" fillId="2" borderId="30" xfId="28" applyNumberFormat="1" applyFont="1" applyFill="1" applyBorder="1" applyAlignment="1">
      <alignment horizontal="right"/>
      <protection/>
    </xf>
    <xf numFmtId="3" fontId="19" fillId="0" borderId="30" xfId="28" applyNumberFormat="1" applyFont="1" applyFill="1" applyBorder="1" applyAlignment="1" applyProtection="1">
      <alignment horizontal="right"/>
      <protection/>
    </xf>
    <xf numFmtId="3" fontId="19" fillId="0" borderId="30" xfId="0" applyNumberFormat="1" applyFont="1" applyBorder="1" applyAlignment="1">
      <alignment horizontal="right"/>
    </xf>
    <xf numFmtId="164" fontId="7" fillId="4" borderId="0" xfId="28" applyFont="1" applyFill="1" applyBorder="1">
      <alignment/>
      <protection/>
    </xf>
    <xf numFmtId="164" fontId="7" fillId="4" borderId="0" xfId="28" applyFont="1" applyFill="1" applyBorder="1" applyAlignment="1">
      <alignment horizontal="center"/>
      <protection/>
    </xf>
    <xf numFmtId="164" fontId="7" fillId="4" borderId="0" xfId="22" applyFont="1" applyFill="1" applyBorder="1">
      <alignment/>
      <protection/>
    </xf>
    <xf numFmtId="0" fontId="21" fillId="8" borderId="0" xfId="28" applyNumberFormat="1" applyFont="1" applyFill="1" applyBorder="1" applyAlignment="1" applyProtection="1">
      <alignment horizontal="center"/>
      <protection/>
    </xf>
    <xf numFmtId="3" fontId="10" fillId="11" borderId="23" xfId="28" applyNumberFormat="1" applyFont="1" applyFill="1" applyBorder="1" applyAlignment="1">
      <alignment horizontal="right"/>
      <protection/>
    </xf>
    <xf numFmtId="164" fontId="7" fillId="2" borderId="0" xfId="22" applyFont="1" applyFill="1" applyBorder="1" applyAlignment="1">
      <alignment horizontal="left"/>
      <protection/>
    </xf>
    <xf numFmtId="1" fontId="7" fillId="2" borderId="0" xfId="22" applyNumberFormat="1" applyFont="1" applyFill="1" applyBorder="1" applyAlignment="1">
      <alignment/>
      <protection/>
    </xf>
    <xf numFmtId="1" fontId="21" fillId="2" borderId="0" xfId="25" applyNumberFormat="1" applyFont="1" applyFill="1" applyBorder="1" applyAlignment="1">
      <alignment/>
      <protection/>
    </xf>
    <xf numFmtId="3" fontId="7" fillId="2" borderId="0" xfId="25" applyFont="1" applyFill="1" applyBorder="1">
      <alignment/>
      <protection/>
    </xf>
    <xf numFmtId="3" fontId="7" fillId="2" borderId="0" xfId="25" applyFont="1" applyFill="1" applyBorder="1" applyAlignment="1">
      <alignment horizontal="left"/>
      <protection/>
    </xf>
    <xf numFmtId="3" fontId="19" fillId="0" borderId="30" xfId="28" applyNumberFormat="1" applyFont="1" applyFill="1" applyBorder="1" applyAlignment="1">
      <alignment horizontal="right"/>
      <protection/>
    </xf>
    <xf numFmtId="164" fontId="6" fillId="0" borderId="0" xfId="0" applyFont="1" applyAlignment="1">
      <alignment vertical="top"/>
    </xf>
    <xf numFmtId="37" fontId="30" fillId="0" borderId="3" xfId="26" applyNumberFormat="1" applyFont="1" applyBorder="1" applyAlignment="1" applyProtection="1">
      <alignment vertical="top"/>
      <protection/>
    </xf>
    <xf numFmtId="164" fontId="10" fillId="0" borderId="26" xfId="0" applyFont="1" applyFill="1" applyBorder="1" applyAlignment="1">
      <alignment/>
    </xf>
    <xf numFmtId="164" fontId="10" fillId="0" borderId="28" xfId="0" applyFont="1" applyFill="1" applyBorder="1" applyAlignment="1">
      <alignment horizontal="centerContinuous" wrapText="1"/>
    </xf>
    <xf numFmtId="164" fontId="10" fillId="0" borderId="27" xfId="0" applyFont="1" applyFill="1" applyBorder="1" applyAlignment="1">
      <alignment horizontal="centerContinuous" wrapText="1"/>
    </xf>
    <xf numFmtId="164" fontId="10" fillId="0" borderId="29" xfId="0" applyFont="1" applyFill="1" applyBorder="1" applyAlignment="1">
      <alignment horizontal="centerContinuous" wrapText="1"/>
    </xf>
    <xf numFmtId="164" fontId="7" fillId="0" borderId="0" xfId="0" applyFont="1" applyFill="1" applyBorder="1" applyAlignment="1">
      <alignment/>
    </xf>
    <xf numFmtId="164" fontId="7" fillId="0" borderId="14" xfId="0" applyFont="1" applyFill="1" applyBorder="1" applyAlignment="1">
      <alignment horizontal="center" wrapText="1"/>
    </xf>
    <xf numFmtId="164" fontId="7" fillId="0" borderId="3" xfId="0" applyFont="1" applyFill="1" applyBorder="1" applyAlignment="1">
      <alignment horizontal="center" wrapText="1"/>
    </xf>
    <xf numFmtId="164" fontId="10" fillId="0" borderId="31" xfId="0" applyFont="1" applyFill="1" applyBorder="1" applyAlignment="1">
      <alignment horizontal="center" wrapText="1"/>
    </xf>
    <xf numFmtId="164" fontId="10" fillId="0" borderId="13" xfId="0" applyFont="1" applyFill="1" applyBorder="1" applyAlignment="1">
      <alignment/>
    </xf>
    <xf numFmtId="164" fontId="7" fillId="0" borderId="12" xfId="0" applyFont="1" applyFill="1" applyBorder="1" applyAlignment="1">
      <alignment horizontal="right"/>
    </xf>
    <xf numFmtId="3" fontId="10" fillId="0" borderId="12" xfId="15" applyNumberFormat="1" applyFont="1" applyFill="1" applyBorder="1" applyAlignment="1">
      <alignment/>
    </xf>
    <xf numFmtId="3" fontId="7" fillId="0" borderId="34" xfId="15" applyNumberFormat="1" applyFont="1" applyFill="1" applyBorder="1" applyAlignment="1">
      <alignment/>
    </xf>
    <xf numFmtId="3" fontId="7" fillId="0" borderId="35" xfId="15" applyNumberFormat="1" applyFont="1" applyFill="1" applyBorder="1" applyAlignment="1">
      <alignment/>
    </xf>
    <xf numFmtId="3" fontId="10" fillId="0" borderId="36" xfId="15" applyNumberFormat="1" applyFont="1" applyFill="1" applyBorder="1" applyAlignment="1">
      <alignment/>
    </xf>
    <xf numFmtId="3" fontId="7" fillId="0" borderId="13" xfId="15" applyNumberFormat="1" applyFont="1" applyFill="1" applyBorder="1" applyAlignment="1">
      <alignment/>
    </xf>
    <xf numFmtId="3" fontId="7" fillId="0" borderId="0" xfId="15" applyNumberFormat="1" applyFont="1" applyFill="1" applyBorder="1" applyAlignment="1">
      <alignment/>
    </xf>
    <xf numFmtId="0" fontId="7" fillId="0" borderId="0" xfId="0" applyNumberFormat="1" applyFont="1" applyFill="1" applyBorder="1" applyAlignment="1">
      <alignment/>
    </xf>
    <xf numFmtId="164" fontId="7" fillId="0" borderId="13" xfId="0" applyFont="1" applyFill="1" applyBorder="1" applyAlignment="1">
      <alignment/>
    </xf>
    <xf numFmtId="164" fontId="7" fillId="0" borderId="14" xfId="0" applyFont="1" applyFill="1" applyBorder="1" applyAlignment="1">
      <alignment/>
    </xf>
    <xf numFmtId="164" fontId="7" fillId="0" borderId="31" xfId="0" applyFont="1" applyFill="1" applyBorder="1" applyAlignment="1">
      <alignment horizontal="right"/>
    </xf>
    <xf numFmtId="3" fontId="7" fillId="0" borderId="14" xfId="15" applyNumberFormat="1" applyFont="1" applyFill="1" applyBorder="1" applyAlignment="1">
      <alignment/>
    </xf>
    <xf numFmtId="3" fontId="7" fillId="0" borderId="3" xfId="15" applyNumberFormat="1" applyFont="1" applyFill="1" applyBorder="1" applyAlignment="1">
      <alignment/>
    </xf>
    <xf numFmtId="3" fontId="10" fillId="0" borderId="31" xfId="15" applyNumberFormat="1" applyFont="1" applyFill="1" applyBorder="1" applyAlignment="1">
      <alignment/>
    </xf>
    <xf numFmtId="3" fontId="10" fillId="0" borderId="3" xfId="15" applyNumberFormat="1" applyFont="1" applyFill="1" applyBorder="1" applyAlignment="1">
      <alignment/>
    </xf>
    <xf numFmtId="0" fontId="7" fillId="0" borderId="3" xfId="0" applyNumberFormat="1" applyFont="1" applyFill="1" applyBorder="1" applyAlignment="1">
      <alignment/>
    </xf>
    <xf numFmtId="164" fontId="7" fillId="0" borderId="3" xfId="0" applyFont="1" applyFill="1" applyBorder="1" applyAlignment="1">
      <alignment/>
    </xf>
    <xf numFmtId="3" fontId="10" fillId="0" borderId="0" xfId="15" applyNumberFormat="1" applyFont="1" applyFill="1" applyBorder="1" applyAlignment="1">
      <alignment/>
    </xf>
    <xf numFmtId="3" fontId="7" fillId="0" borderId="13" xfId="15" applyNumberFormat="1" applyFont="1" applyFill="1" applyBorder="1" applyAlignment="1">
      <alignment horizontal="right"/>
    </xf>
    <xf numFmtId="3" fontId="7" fillId="0" borderId="0" xfId="15" applyNumberFormat="1" applyFont="1" applyFill="1" applyBorder="1" applyAlignment="1">
      <alignment horizontal="right"/>
    </xf>
    <xf numFmtId="164" fontId="10" fillId="0" borderId="0" xfId="0" applyFont="1" applyFill="1" applyBorder="1" applyAlignment="1">
      <alignment/>
    </xf>
    <xf numFmtId="164" fontId="31" fillId="0" borderId="0" xfId="0" applyFont="1" applyFill="1" applyBorder="1" applyAlignment="1">
      <alignment/>
    </xf>
    <xf numFmtId="164" fontId="27" fillId="0" borderId="0" xfId="0" applyFont="1" applyFill="1" applyBorder="1" applyAlignment="1">
      <alignment/>
    </xf>
    <xf numFmtId="169" fontId="7" fillId="0" borderId="0" xfId="15" applyNumberFormat="1" applyFont="1" applyFill="1" applyBorder="1" applyAlignment="1">
      <alignment/>
    </xf>
    <xf numFmtId="164" fontId="7" fillId="0" borderId="22" xfId="0" applyFont="1" applyFill="1" applyBorder="1" applyAlignment="1">
      <alignment/>
    </xf>
    <xf numFmtId="164" fontId="7" fillId="0" borderId="31" xfId="0" applyFont="1" applyFill="1" applyBorder="1" applyAlignment="1">
      <alignment horizontal="center" wrapText="1"/>
    </xf>
    <xf numFmtId="164" fontId="7" fillId="0" borderId="12" xfId="0" applyFont="1" applyFill="1" applyBorder="1" applyAlignment="1">
      <alignment/>
    </xf>
    <xf numFmtId="164" fontId="27" fillId="0" borderId="12" xfId="0" applyFont="1" applyFill="1" applyBorder="1" applyAlignment="1">
      <alignment/>
    </xf>
    <xf numFmtId="3" fontId="7" fillId="0" borderId="37" xfId="15" applyNumberFormat="1" applyFont="1" applyFill="1" applyBorder="1" applyAlignment="1">
      <alignment/>
    </xf>
    <xf numFmtId="3" fontId="7" fillId="0" borderId="38" xfId="15" applyNumberFormat="1" applyFont="1" applyFill="1" applyBorder="1" applyAlignment="1">
      <alignment/>
    </xf>
    <xf numFmtId="3" fontId="10" fillId="0" borderId="39" xfId="15" applyNumberFormat="1" applyFont="1" applyFill="1" applyBorder="1" applyAlignment="1">
      <alignment/>
    </xf>
    <xf numFmtId="3" fontId="7" fillId="0" borderId="40" xfId="15" applyNumberFormat="1" applyFont="1" applyFill="1" applyBorder="1" applyAlignment="1">
      <alignment/>
    </xf>
    <xf numFmtId="3" fontId="7" fillId="0" borderId="41" xfId="15" applyNumberFormat="1" applyFont="1" applyFill="1" applyBorder="1" applyAlignment="1">
      <alignment/>
    </xf>
    <xf numFmtId="3" fontId="10" fillId="0" borderId="42" xfId="15" applyNumberFormat="1" applyFont="1" applyFill="1" applyBorder="1" applyAlignment="1">
      <alignment/>
    </xf>
    <xf numFmtId="3" fontId="7" fillId="4" borderId="34" xfId="15" applyNumberFormat="1" applyFont="1" applyFill="1" applyBorder="1" applyAlignment="1">
      <alignment/>
    </xf>
    <xf numFmtId="3" fontId="7" fillId="4" borderId="35" xfId="15" applyNumberFormat="1" applyFont="1" applyFill="1" applyBorder="1" applyAlignment="1">
      <alignment/>
    </xf>
    <xf numFmtId="3" fontId="10" fillId="4" borderId="36" xfId="15" applyNumberFormat="1" applyFont="1" applyFill="1" applyBorder="1" applyAlignment="1">
      <alignment/>
    </xf>
    <xf numFmtId="3" fontId="7" fillId="4" borderId="37" xfId="15" applyNumberFormat="1" applyFont="1" applyFill="1" applyBorder="1" applyAlignment="1">
      <alignment/>
    </xf>
    <xf numFmtId="3" fontId="7" fillId="4" borderId="38" xfId="15" applyNumberFormat="1" applyFont="1" applyFill="1" applyBorder="1" applyAlignment="1">
      <alignment/>
    </xf>
    <xf numFmtId="3" fontId="10" fillId="4" borderId="39" xfId="15" applyNumberFormat="1" applyFont="1" applyFill="1" applyBorder="1" applyAlignment="1">
      <alignment/>
    </xf>
    <xf numFmtId="164" fontId="0" fillId="2" borderId="0" xfId="0" applyFill="1" applyAlignment="1">
      <alignment horizontal="center"/>
    </xf>
    <xf numFmtId="164" fontId="0" fillId="2" borderId="0" xfId="0" applyFill="1" applyAlignment="1">
      <alignment/>
    </xf>
    <xf numFmtId="178" fontId="7" fillId="2" borderId="0" xfId="29" applyNumberFormat="1" applyFont="1" applyFill="1" applyAlignment="1">
      <alignment/>
    </xf>
    <xf numFmtId="3" fontId="7" fillId="2" borderId="0" xfId="27" applyNumberFormat="1" applyFont="1" applyFill="1" applyBorder="1" applyAlignment="1">
      <alignment horizontal="right"/>
      <protection/>
    </xf>
    <xf numFmtId="1" fontId="21" fillId="6" borderId="0" xfId="28" applyNumberFormat="1" applyFont="1" applyFill="1" applyBorder="1" applyAlignment="1">
      <alignment horizontal="center"/>
      <protection/>
    </xf>
    <xf numFmtId="164" fontId="21" fillId="6" borderId="0" xfId="28" applyFont="1" applyFill="1" applyBorder="1" applyAlignment="1">
      <alignment horizontal="center"/>
      <protection/>
    </xf>
    <xf numFmtId="164" fontId="21" fillId="6" borderId="0" xfId="22" applyFont="1" applyFill="1" applyBorder="1">
      <alignment/>
      <protection/>
    </xf>
    <xf numFmtId="164" fontId="21" fillId="6" borderId="0" xfId="22" applyFont="1" applyFill="1" applyBorder="1" applyAlignment="1">
      <alignment horizontal="center"/>
      <protection/>
    </xf>
    <xf numFmtId="164" fontId="21" fillId="6" borderId="3" xfId="28" applyFont="1" applyFill="1" applyBorder="1">
      <alignment/>
      <protection/>
    </xf>
    <xf numFmtId="1" fontId="21" fillId="6" borderId="3" xfId="28" applyNumberFormat="1" applyFont="1" applyFill="1" applyBorder="1" applyAlignment="1">
      <alignment horizontal="center"/>
      <protection/>
    </xf>
    <xf numFmtId="164" fontId="21" fillId="6" borderId="3" xfId="28" applyFont="1" applyFill="1" applyBorder="1" applyAlignment="1" applyProtection="1">
      <alignment horizontal="center"/>
      <protection/>
    </xf>
    <xf numFmtId="3" fontId="19" fillId="0" borderId="31" xfId="28" applyNumberFormat="1" applyFont="1" applyFill="1" applyBorder="1" applyAlignment="1">
      <alignment horizontal="right"/>
      <protection/>
    </xf>
    <xf numFmtId="164" fontId="21" fillId="7" borderId="0" xfId="21" applyFont="1" applyFill="1" applyBorder="1" applyAlignment="1">
      <alignment/>
      <protection/>
    </xf>
    <xf numFmtId="9" fontId="7" fillId="0" borderId="3" xfId="29" applyFont="1" applyFill="1" applyBorder="1" applyAlignment="1">
      <alignment horizontal="center" wrapText="1"/>
    </xf>
    <xf numFmtId="9" fontId="7" fillId="0" borderId="31" xfId="29" applyFont="1" applyFill="1" applyBorder="1" applyAlignment="1">
      <alignment horizontal="center" wrapText="1"/>
    </xf>
    <xf numFmtId="9" fontId="7" fillId="0" borderId="3" xfId="29" applyFont="1" applyBorder="1" applyAlignment="1">
      <alignment horizontal="center" wrapText="1"/>
    </xf>
    <xf numFmtId="9" fontId="7" fillId="0" borderId="31" xfId="29" applyFont="1" applyBorder="1" applyAlignment="1">
      <alignment horizontal="center" wrapText="1"/>
    </xf>
    <xf numFmtId="173" fontId="11" fillId="0" borderId="0" xfId="0" applyNumberFormat="1" applyFont="1" applyFill="1" applyAlignment="1">
      <alignment/>
    </xf>
    <xf numFmtId="0" fontId="7" fillId="0" borderId="3" xfId="27" applyFont="1" applyFill="1" applyBorder="1">
      <alignment/>
      <protection/>
    </xf>
    <xf numFmtId="0" fontId="7" fillId="0" borderId="0" xfId="27" applyFont="1" applyFill="1" applyAlignment="1">
      <alignment vertical="center"/>
      <protection/>
    </xf>
    <xf numFmtId="164" fontId="32" fillId="9" borderId="0" xfId="28" applyFont="1" applyFill="1" applyBorder="1" applyAlignment="1" applyProtection="1">
      <alignment horizontal="center"/>
      <protection/>
    </xf>
    <xf numFmtId="3" fontId="33" fillId="0" borderId="23" xfId="28" applyNumberFormat="1" applyFont="1" applyFill="1" applyBorder="1" applyAlignment="1">
      <alignment horizontal="right"/>
      <protection/>
    </xf>
    <xf numFmtId="3" fontId="33" fillId="0" borderId="12" xfId="28" applyNumberFormat="1" applyFont="1" applyFill="1" applyBorder="1" applyAlignment="1">
      <alignment horizontal="right"/>
      <protection/>
    </xf>
    <xf numFmtId="37" fontId="30" fillId="0" borderId="0" xfId="26" applyNumberFormat="1" applyFont="1" applyAlignment="1" applyProtection="1">
      <alignment horizontal="center" vertical="top"/>
      <protection/>
    </xf>
    <xf numFmtId="0" fontId="20" fillId="0" borderId="0" xfId="27" applyFont="1" applyFill="1" applyBorder="1" applyAlignment="1">
      <alignment wrapText="1"/>
      <protection/>
    </xf>
    <xf numFmtId="164" fontId="11" fillId="0" borderId="0" xfId="0" applyFont="1" applyAlignment="1">
      <alignment/>
    </xf>
    <xf numFmtId="164" fontId="4" fillId="0" borderId="0" xfId="0" applyFont="1" applyAlignment="1">
      <alignment vertical="top" wrapText="1"/>
    </xf>
    <xf numFmtId="0" fontId="6" fillId="0" borderId="0" xfId="27" applyFont="1" applyAlignment="1">
      <alignment horizontal="center"/>
      <protection/>
    </xf>
    <xf numFmtId="0" fontId="8" fillId="0" borderId="0" xfId="27" applyFont="1" applyAlignment="1">
      <alignment horizontal="center"/>
      <protection/>
    </xf>
    <xf numFmtId="0" fontId="4" fillId="0" borderId="0" xfId="15" applyNumberFormat="1" applyFont="1" applyAlignment="1">
      <alignment vertical="top" wrapText="1"/>
    </xf>
    <xf numFmtId="164" fontId="0" fillId="0" borderId="0" xfId="0" applyAlignment="1">
      <alignment wrapText="1"/>
    </xf>
    <xf numFmtId="164" fontId="4" fillId="0" borderId="0" xfId="0" applyFont="1" applyAlignment="1">
      <alignment vertical="center" wrapText="1"/>
    </xf>
    <xf numFmtId="164" fontId="7" fillId="0" borderId="0" xfId="0" applyFont="1" applyAlignment="1" quotePrefix="1">
      <alignment horizontal="right"/>
    </xf>
  </cellXfs>
  <cellStyles count="16">
    <cellStyle name="Normal" xfId="0"/>
    <cellStyle name="Comma" xfId="15"/>
    <cellStyle name="Comma [0]" xfId="16"/>
    <cellStyle name="Currency" xfId="17"/>
    <cellStyle name="Currency [0]" xfId="18"/>
    <cellStyle name="Normal_06-07Tuition05" xfId="19"/>
    <cellStyle name="Normal_Benefits02 Form" xfId="20"/>
    <cellStyle name="Normal_Degree02 Form" xfId="21"/>
    <cellStyle name="Normal_Degrees02 Form" xfId="22"/>
    <cellStyle name="Normal_Funding02 Form" xfId="23"/>
    <cellStyle name="Normal_JP - SREB Part 5,6 &amp; 7 Final" xfId="24"/>
    <cellStyle name="Normal_SCH&amp;FTE02 Form" xfId="25"/>
    <cellStyle name="Normal_Tuit98" xfId="26"/>
    <cellStyle name="Normal_Tuition Tables" xfId="27"/>
    <cellStyle name="Normal_Tuition02 Form"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2"/>
  </sheetPr>
  <dimension ref="A1:AN752"/>
  <sheetViews>
    <sheetView zoomScale="75" zoomScaleNormal="75" workbookViewId="0" topLeftCell="A1">
      <pane xSplit="4" ySplit="4" topLeftCell="E278" activePane="bottomRight" state="frozen"/>
      <selection pane="topLeft" activeCell="A1" sqref="A1"/>
      <selection pane="topRight" activeCell="E1" sqref="E1"/>
      <selection pane="bottomLeft" activeCell="A5" sqref="A5"/>
      <selection pane="bottomRight" activeCell="J309" sqref="J309"/>
    </sheetView>
  </sheetViews>
  <sheetFormatPr defaultColWidth="8.796875" defaultRowHeight="15" customHeight="1"/>
  <cols>
    <col min="1" max="1" width="4.19921875" style="82" customWidth="1"/>
    <col min="2" max="2" width="29.69921875" style="82" customWidth="1"/>
    <col min="3" max="3" width="7.8984375" style="82" customWidth="1"/>
    <col min="4" max="4" width="5.19921875" style="82" customWidth="1"/>
    <col min="5" max="5" width="8.59765625" style="83" customWidth="1"/>
    <col min="6" max="6" width="10.5" style="84" customWidth="1"/>
    <col min="7" max="7" width="8.59765625" style="83" customWidth="1"/>
    <col min="8" max="8" width="10.59765625" style="84" customWidth="1"/>
    <col min="9" max="9" width="8.59765625" style="83" customWidth="1"/>
    <col min="10" max="10" width="8.59765625" style="84" customWidth="1"/>
    <col min="11" max="11" width="8.59765625" style="83" customWidth="1"/>
    <col min="12" max="12" width="8.59765625" style="84" customWidth="1"/>
    <col min="13" max="13" width="8.59765625" style="83" customWidth="1"/>
    <col min="14" max="15" width="8.59765625" style="84" customWidth="1"/>
    <col min="16" max="16" width="8.59765625" style="83" customWidth="1"/>
    <col min="17" max="18" width="8.59765625" style="84" customWidth="1"/>
    <col min="19" max="19" width="8.59765625" style="83" customWidth="1"/>
    <col min="20" max="21" width="8.59765625" style="84" customWidth="1"/>
    <col min="22" max="22" width="8.59765625" style="83" customWidth="1"/>
    <col min="23" max="24" width="8.59765625" style="84" customWidth="1"/>
    <col min="25" max="25" width="8.59765625" style="83" customWidth="1"/>
    <col min="26" max="27" width="8.59765625" style="84" customWidth="1"/>
    <col min="28" max="28" width="8.59765625" style="83" customWidth="1"/>
    <col min="29" max="30" width="8.59765625" style="84" customWidth="1"/>
    <col min="31" max="31" width="8.59765625" style="83" customWidth="1"/>
    <col min="32" max="33" width="8.59765625" style="84" customWidth="1"/>
    <col min="34" max="34" width="8.59765625" style="83" customWidth="1"/>
    <col min="35" max="36" width="8.59765625" style="84" customWidth="1"/>
    <col min="37" max="37" width="8.59765625" style="83" customWidth="1"/>
    <col min="38" max="39" width="8.59765625" style="84" customWidth="1"/>
    <col min="40" max="40" width="8.59765625" style="83" customWidth="1"/>
    <col min="41" max="16384" width="9" style="82" customWidth="1"/>
  </cols>
  <sheetData>
    <row r="1" spans="1:40" s="105" customFormat="1" ht="15" customHeight="1">
      <c r="A1" s="150"/>
      <c r="B1" s="151"/>
      <c r="C1" s="152"/>
      <c r="D1" s="152"/>
      <c r="E1" s="156" t="s">
        <v>401</v>
      </c>
      <c r="F1" s="158"/>
      <c r="G1" s="160"/>
      <c r="H1" s="158"/>
      <c r="I1" s="156" t="s">
        <v>402</v>
      </c>
      <c r="J1" s="158"/>
      <c r="K1" s="160"/>
      <c r="L1" s="158"/>
      <c r="M1" s="161" t="s">
        <v>1024</v>
      </c>
      <c r="N1" s="158"/>
      <c r="O1" s="160"/>
      <c r="P1" s="158"/>
      <c r="Q1" s="161" t="s">
        <v>1025</v>
      </c>
      <c r="R1" s="158"/>
      <c r="S1" s="162"/>
      <c r="T1" s="158"/>
      <c r="U1" s="161" t="s">
        <v>1026</v>
      </c>
      <c r="V1" s="158"/>
      <c r="W1" s="162"/>
      <c r="X1" s="158"/>
      <c r="Y1" s="161" t="s">
        <v>1027</v>
      </c>
      <c r="Z1" s="158"/>
      <c r="AA1" s="162"/>
      <c r="AB1" s="158"/>
      <c r="AC1" s="161" t="s">
        <v>1028</v>
      </c>
      <c r="AD1" s="158"/>
      <c r="AE1" s="162"/>
      <c r="AF1" s="158"/>
      <c r="AG1" s="161" t="s">
        <v>403</v>
      </c>
      <c r="AH1" s="158"/>
      <c r="AI1" s="162"/>
      <c r="AJ1" s="158"/>
      <c r="AK1" s="161" t="s">
        <v>954</v>
      </c>
      <c r="AL1" s="158"/>
      <c r="AM1" s="163"/>
      <c r="AN1" s="164"/>
    </row>
    <row r="2" spans="1:40" s="105" customFormat="1" ht="15" customHeight="1">
      <c r="A2" s="102"/>
      <c r="B2" s="103"/>
      <c r="C2" s="104"/>
      <c r="D2" s="155"/>
      <c r="E2" s="106" t="s">
        <v>952</v>
      </c>
      <c r="F2" s="107" t="s">
        <v>952</v>
      </c>
      <c r="G2" s="106" t="s">
        <v>953</v>
      </c>
      <c r="H2" s="107" t="s">
        <v>953</v>
      </c>
      <c r="I2" s="108" t="s">
        <v>952</v>
      </c>
      <c r="J2" s="107" t="s">
        <v>952</v>
      </c>
      <c r="K2" s="109" t="s">
        <v>953</v>
      </c>
      <c r="L2" s="107" t="s">
        <v>953</v>
      </c>
      <c r="M2" s="108" t="s">
        <v>952</v>
      </c>
      <c r="N2" s="107" t="s">
        <v>952</v>
      </c>
      <c r="O2" s="108" t="s">
        <v>953</v>
      </c>
      <c r="P2" s="107" t="s">
        <v>953</v>
      </c>
      <c r="Q2" s="108" t="s">
        <v>952</v>
      </c>
      <c r="R2" s="107" t="s">
        <v>952</v>
      </c>
      <c r="S2" s="108" t="s">
        <v>953</v>
      </c>
      <c r="T2" s="107" t="s">
        <v>953</v>
      </c>
      <c r="U2" s="108" t="s">
        <v>952</v>
      </c>
      <c r="V2" s="107" t="s">
        <v>952</v>
      </c>
      <c r="W2" s="108" t="s">
        <v>953</v>
      </c>
      <c r="X2" s="107" t="s">
        <v>953</v>
      </c>
      <c r="Y2" s="108" t="s">
        <v>952</v>
      </c>
      <c r="Z2" s="107" t="s">
        <v>952</v>
      </c>
      <c r="AA2" s="108" t="s">
        <v>953</v>
      </c>
      <c r="AB2" s="107" t="s">
        <v>953</v>
      </c>
      <c r="AC2" s="108" t="s">
        <v>952</v>
      </c>
      <c r="AD2" s="107" t="s">
        <v>952</v>
      </c>
      <c r="AE2" s="108" t="s">
        <v>953</v>
      </c>
      <c r="AF2" s="107" t="s">
        <v>953</v>
      </c>
      <c r="AG2" s="108" t="s">
        <v>952</v>
      </c>
      <c r="AH2" s="107" t="s">
        <v>952</v>
      </c>
      <c r="AI2" s="108" t="s">
        <v>953</v>
      </c>
      <c r="AJ2" s="107" t="s">
        <v>953</v>
      </c>
      <c r="AK2" s="108" t="s">
        <v>952</v>
      </c>
      <c r="AL2" s="107" t="s">
        <v>952</v>
      </c>
      <c r="AM2" s="108" t="s">
        <v>953</v>
      </c>
      <c r="AN2" s="107" t="s">
        <v>953</v>
      </c>
    </row>
    <row r="3" spans="1:40" s="105" customFormat="1" ht="15" customHeight="1">
      <c r="A3" s="102"/>
      <c r="B3" s="103"/>
      <c r="C3" s="104" t="s">
        <v>404</v>
      </c>
      <c r="D3" s="155"/>
      <c r="E3" s="106" t="s">
        <v>951</v>
      </c>
      <c r="F3" s="107" t="s">
        <v>951</v>
      </c>
      <c r="G3" s="106" t="s">
        <v>951</v>
      </c>
      <c r="H3" s="107" t="s">
        <v>951</v>
      </c>
      <c r="I3" s="108" t="s">
        <v>951</v>
      </c>
      <c r="J3" s="107" t="s">
        <v>951</v>
      </c>
      <c r="K3" s="109" t="s">
        <v>951</v>
      </c>
      <c r="L3" s="107" t="s">
        <v>951</v>
      </c>
      <c r="M3" s="108" t="s">
        <v>951</v>
      </c>
      <c r="N3" s="107" t="s">
        <v>951</v>
      </c>
      <c r="O3" s="108" t="s">
        <v>951</v>
      </c>
      <c r="P3" s="107" t="s">
        <v>951</v>
      </c>
      <c r="Q3" s="108" t="s">
        <v>951</v>
      </c>
      <c r="R3" s="107" t="s">
        <v>951</v>
      </c>
      <c r="S3" s="108" t="s">
        <v>951</v>
      </c>
      <c r="T3" s="107" t="s">
        <v>951</v>
      </c>
      <c r="U3" s="108" t="s">
        <v>951</v>
      </c>
      <c r="V3" s="107" t="s">
        <v>951</v>
      </c>
      <c r="W3" s="108" t="s">
        <v>951</v>
      </c>
      <c r="X3" s="107" t="s">
        <v>951</v>
      </c>
      <c r="Y3" s="108" t="s">
        <v>951</v>
      </c>
      <c r="Z3" s="107" t="s">
        <v>951</v>
      </c>
      <c r="AA3" s="108" t="s">
        <v>951</v>
      </c>
      <c r="AB3" s="107" t="s">
        <v>951</v>
      </c>
      <c r="AC3" s="108" t="s">
        <v>951</v>
      </c>
      <c r="AD3" s="107" t="s">
        <v>951</v>
      </c>
      <c r="AE3" s="108" t="s">
        <v>951</v>
      </c>
      <c r="AF3" s="107" t="s">
        <v>951</v>
      </c>
      <c r="AG3" s="108" t="s">
        <v>951</v>
      </c>
      <c r="AH3" s="107" t="s">
        <v>951</v>
      </c>
      <c r="AI3" s="108" t="s">
        <v>951</v>
      </c>
      <c r="AJ3" s="107" t="s">
        <v>951</v>
      </c>
      <c r="AK3" s="108" t="s">
        <v>951</v>
      </c>
      <c r="AL3" s="107" t="s">
        <v>951</v>
      </c>
      <c r="AM3" s="108" t="s">
        <v>951</v>
      </c>
      <c r="AN3" s="107" t="s">
        <v>951</v>
      </c>
    </row>
    <row r="4" spans="1:40" s="105" customFormat="1" ht="15" customHeight="1">
      <c r="A4" s="272" t="s">
        <v>951</v>
      </c>
      <c r="B4" s="272" t="s">
        <v>1038</v>
      </c>
      <c r="C4" s="104" t="s">
        <v>1039</v>
      </c>
      <c r="D4" s="273" t="s">
        <v>1040</v>
      </c>
      <c r="E4" s="157" t="s">
        <v>458</v>
      </c>
      <c r="F4" s="159" t="s">
        <v>567</v>
      </c>
      <c r="G4" s="157" t="s">
        <v>458</v>
      </c>
      <c r="H4" s="159" t="s">
        <v>567</v>
      </c>
      <c r="I4" s="157" t="s">
        <v>458</v>
      </c>
      <c r="J4" s="159" t="s">
        <v>567</v>
      </c>
      <c r="K4" s="157" t="s">
        <v>458</v>
      </c>
      <c r="L4" s="159" t="s">
        <v>567</v>
      </c>
      <c r="M4" s="157" t="s">
        <v>458</v>
      </c>
      <c r="N4" s="159" t="s">
        <v>567</v>
      </c>
      <c r="O4" s="157" t="s">
        <v>458</v>
      </c>
      <c r="P4" s="159" t="s">
        <v>567</v>
      </c>
      <c r="Q4" s="157" t="s">
        <v>458</v>
      </c>
      <c r="R4" s="159" t="s">
        <v>567</v>
      </c>
      <c r="S4" s="157" t="s">
        <v>458</v>
      </c>
      <c r="T4" s="159" t="s">
        <v>567</v>
      </c>
      <c r="U4" s="157" t="s">
        <v>458</v>
      </c>
      <c r="V4" s="159" t="s">
        <v>567</v>
      </c>
      <c r="W4" s="157" t="s">
        <v>458</v>
      </c>
      <c r="X4" s="159" t="s">
        <v>567</v>
      </c>
      <c r="Y4" s="157" t="s">
        <v>458</v>
      </c>
      <c r="Z4" s="159" t="s">
        <v>567</v>
      </c>
      <c r="AA4" s="157" t="s">
        <v>458</v>
      </c>
      <c r="AB4" s="159" t="s">
        <v>567</v>
      </c>
      <c r="AC4" s="157" t="s">
        <v>458</v>
      </c>
      <c r="AD4" s="159" t="s">
        <v>567</v>
      </c>
      <c r="AE4" s="157" t="s">
        <v>458</v>
      </c>
      <c r="AF4" s="159" t="s">
        <v>567</v>
      </c>
      <c r="AG4" s="157" t="s">
        <v>458</v>
      </c>
      <c r="AH4" s="159" t="s">
        <v>567</v>
      </c>
      <c r="AI4" s="157" t="s">
        <v>458</v>
      </c>
      <c r="AJ4" s="159" t="s">
        <v>567</v>
      </c>
      <c r="AK4" s="157" t="s">
        <v>458</v>
      </c>
      <c r="AL4" s="159" t="s">
        <v>567</v>
      </c>
      <c r="AM4" s="157" t="s">
        <v>458</v>
      </c>
      <c r="AN4" s="159" t="s">
        <v>567</v>
      </c>
    </row>
    <row r="5" spans="1:40" s="274" customFormat="1" ht="15" customHeight="1">
      <c r="A5" s="248" t="s">
        <v>950</v>
      </c>
      <c r="B5" s="249" t="s">
        <v>1076</v>
      </c>
      <c r="C5" s="250">
        <v>100858</v>
      </c>
      <c r="D5" s="250">
        <v>1</v>
      </c>
      <c r="E5" s="280">
        <v>4426</v>
      </c>
      <c r="F5" s="282">
        <v>4828</v>
      </c>
      <c r="G5" s="280">
        <v>12886</v>
      </c>
      <c r="H5" s="282">
        <v>14048</v>
      </c>
      <c r="I5" s="280">
        <v>4426</v>
      </c>
      <c r="J5" s="282">
        <v>4828</v>
      </c>
      <c r="K5" s="280">
        <v>12886</v>
      </c>
      <c r="L5" s="282">
        <v>14048</v>
      </c>
      <c r="M5" s="280"/>
      <c r="N5" s="282"/>
      <c r="O5" s="280"/>
      <c r="P5" s="282"/>
      <c r="Q5" s="280"/>
      <c r="R5" s="282"/>
      <c r="S5" s="280"/>
      <c r="T5" s="282"/>
      <c r="U5" s="280"/>
      <c r="V5" s="282"/>
      <c r="W5" s="280"/>
      <c r="X5" s="282"/>
      <c r="Y5" s="280">
        <v>11026</v>
      </c>
      <c r="Z5" s="282">
        <v>12508</v>
      </c>
      <c r="AA5" s="280">
        <v>20806</v>
      </c>
      <c r="AB5" s="282">
        <v>21968</v>
      </c>
      <c r="AC5" s="280"/>
      <c r="AD5" s="282"/>
      <c r="AE5" s="280"/>
      <c r="AF5" s="282"/>
      <c r="AG5" s="280"/>
      <c r="AH5" s="282"/>
      <c r="AI5" s="280"/>
      <c r="AJ5" s="281"/>
      <c r="AK5" s="280">
        <v>8306</v>
      </c>
      <c r="AL5" s="282">
        <v>9048</v>
      </c>
      <c r="AM5" s="280">
        <v>24526</v>
      </c>
      <c r="AN5" s="282">
        <v>26708</v>
      </c>
    </row>
    <row r="6" spans="1:40" s="242" customFormat="1" ht="15" customHeight="1">
      <c r="A6" s="110" t="s">
        <v>950</v>
      </c>
      <c r="B6" s="111" t="s">
        <v>1077</v>
      </c>
      <c r="C6" s="112">
        <v>100751</v>
      </c>
      <c r="D6" s="112">
        <v>1</v>
      </c>
      <c r="E6" s="128">
        <v>4134</v>
      </c>
      <c r="F6" s="172">
        <v>4630</v>
      </c>
      <c r="G6" s="128">
        <v>11294</v>
      </c>
      <c r="H6" s="172">
        <v>12664</v>
      </c>
      <c r="I6" s="128">
        <v>4134</v>
      </c>
      <c r="J6" s="172">
        <v>4630</v>
      </c>
      <c r="K6" s="128">
        <v>11294</v>
      </c>
      <c r="L6" s="172">
        <v>12664</v>
      </c>
      <c r="M6" s="128">
        <v>7252</v>
      </c>
      <c r="N6" s="172">
        <v>8130</v>
      </c>
      <c r="O6" s="128">
        <v>14982</v>
      </c>
      <c r="P6" s="172">
        <v>16802</v>
      </c>
      <c r="Q6" s="128">
        <v>9874</v>
      </c>
      <c r="R6" s="172">
        <v>11391</v>
      </c>
      <c r="S6" s="128">
        <v>27646</v>
      </c>
      <c r="T6" s="172">
        <v>31757</v>
      </c>
      <c r="U6" s="128"/>
      <c r="V6" s="172"/>
      <c r="W6" s="128"/>
      <c r="X6" s="172"/>
      <c r="Y6" s="128"/>
      <c r="Z6" s="172"/>
      <c r="AA6" s="128"/>
      <c r="AB6" s="172"/>
      <c r="AC6" s="128"/>
      <c r="AD6" s="172"/>
      <c r="AE6" s="128"/>
      <c r="AF6" s="172"/>
      <c r="AG6" s="128"/>
      <c r="AH6" s="172"/>
      <c r="AI6" s="128"/>
      <c r="AJ6" s="243"/>
      <c r="AK6" s="128"/>
      <c r="AL6" s="172"/>
      <c r="AM6" s="128"/>
      <c r="AN6" s="172"/>
    </row>
    <row r="7" spans="1:40" s="242" customFormat="1" ht="15" customHeight="1">
      <c r="A7" s="110" t="s">
        <v>950</v>
      </c>
      <c r="B7" s="111" t="s">
        <v>1078</v>
      </c>
      <c r="C7" s="112">
        <v>100663</v>
      </c>
      <c r="D7" s="112">
        <v>1</v>
      </c>
      <c r="E7" s="128">
        <v>4274</v>
      </c>
      <c r="F7" s="172">
        <v>4662</v>
      </c>
      <c r="G7" s="128">
        <v>9494</v>
      </c>
      <c r="H7" s="172">
        <v>10422</v>
      </c>
      <c r="I7" s="128">
        <v>4046</v>
      </c>
      <c r="J7" s="172">
        <v>4602</v>
      </c>
      <c r="K7" s="128">
        <v>9134</v>
      </c>
      <c r="L7" s="172">
        <v>10434</v>
      </c>
      <c r="M7" s="128"/>
      <c r="N7" s="172"/>
      <c r="O7" s="128"/>
      <c r="P7" s="172"/>
      <c r="Q7" s="128">
        <v>10600</v>
      </c>
      <c r="R7" s="172">
        <v>11937</v>
      </c>
      <c r="S7" s="128">
        <v>28372</v>
      </c>
      <c r="T7" s="172">
        <v>32375</v>
      </c>
      <c r="U7" s="128">
        <v>9979</v>
      </c>
      <c r="V7" s="172">
        <v>11189</v>
      </c>
      <c r="W7" s="128">
        <v>26059</v>
      </c>
      <c r="X7" s="172">
        <v>29681</v>
      </c>
      <c r="Y7" s="128"/>
      <c r="Z7" s="172"/>
      <c r="AA7" s="128"/>
      <c r="AB7" s="172"/>
      <c r="AC7" s="128">
        <v>11355</v>
      </c>
      <c r="AD7" s="172">
        <v>12618</v>
      </c>
      <c r="AE7" s="128">
        <v>27947</v>
      </c>
      <c r="AF7" s="172">
        <v>31698</v>
      </c>
      <c r="AG7" s="128"/>
      <c r="AH7" s="172"/>
      <c r="AI7" s="128"/>
      <c r="AJ7" s="243"/>
      <c r="AK7" s="128"/>
      <c r="AL7" s="172"/>
      <c r="AM7" s="128"/>
      <c r="AN7" s="172"/>
    </row>
    <row r="8" spans="1:40" s="242" customFormat="1" ht="15" customHeight="1">
      <c r="A8" s="110" t="s">
        <v>950</v>
      </c>
      <c r="B8" s="111" t="s">
        <v>1079</v>
      </c>
      <c r="C8" s="112">
        <v>100706</v>
      </c>
      <c r="D8" s="112">
        <v>2</v>
      </c>
      <c r="E8" s="128">
        <v>4126</v>
      </c>
      <c r="F8" s="172">
        <v>4516</v>
      </c>
      <c r="G8" s="128">
        <v>8702</v>
      </c>
      <c r="H8" s="172">
        <v>9518</v>
      </c>
      <c r="I8" s="128">
        <v>5168</v>
      </c>
      <c r="J8" s="172">
        <v>5646</v>
      </c>
      <c r="K8" s="128">
        <v>10620</v>
      </c>
      <c r="L8" s="172">
        <v>11608</v>
      </c>
      <c r="M8" s="128"/>
      <c r="N8" s="172"/>
      <c r="O8" s="128"/>
      <c r="P8" s="172"/>
      <c r="Q8" s="128"/>
      <c r="R8" s="172"/>
      <c r="S8" s="128"/>
      <c r="T8" s="172"/>
      <c r="U8" s="128"/>
      <c r="V8" s="172"/>
      <c r="W8" s="128"/>
      <c r="X8" s="172"/>
      <c r="Y8" s="128"/>
      <c r="Z8" s="172"/>
      <c r="AA8" s="128"/>
      <c r="AB8" s="172"/>
      <c r="AC8" s="128"/>
      <c r="AD8" s="172"/>
      <c r="AE8" s="128"/>
      <c r="AF8" s="172"/>
      <c r="AG8" s="128"/>
      <c r="AH8" s="172"/>
      <c r="AI8" s="128"/>
      <c r="AJ8" s="243"/>
      <c r="AK8" s="128"/>
      <c r="AL8" s="172"/>
      <c r="AM8" s="128"/>
      <c r="AN8" s="172"/>
    </row>
    <row r="9" spans="1:40" s="242" customFormat="1" ht="15" customHeight="1">
      <c r="A9" s="110" t="s">
        <v>950</v>
      </c>
      <c r="B9" s="111" t="s">
        <v>1080</v>
      </c>
      <c r="C9" s="112">
        <v>100654</v>
      </c>
      <c r="D9" s="112">
        <v>3</v>
      </c>
      <c r="E9" s="128">
        <v>4060</v>
      </c>
      <c r="F9" s="172">
        <v>4420</v>
      </c>
      <c r="G9" s="128">
        <v>7600</v>
      </c>
      <c r="H9" s="172">
        <v>8320</v>
      </c>
      <c r="I9" s="128">
        <v>4850</v>
      </c>
      <c r="J9" s="172">
        <v>5282</v>
      </c>
      <c r="K9" s="128">
        <v>9170</v>
      </c>
      <c r="L9" s="172">
        <v>10034</v>
      </c>
      <c r="M9" s="128"/>
      <c r="N9" s="172"/>
      <c r="O9" s="128"/>
      <c r="P9" s="172"/>
      <c r="Q9" s="128"/>
      <c r="R9" s="172"/>
      <c r="S9" s="128"/>
      <c r="T9" s="172"/>
      <c r="U9" s="128"/>
      <c r="V9" s="172"/>
      <c r="W9" s="128"/>
      <c r="X9" s="172"/>
      <c r="Y9" s="128"/>
      <c r="Z9" s="172"/>
      <c r="AA9" s="128"/>
      <c r="AB9" s="172"/>
      <c r="AC9" s="128"/>
      <c r="AD9" s="172"/>
      <c r="AE9" s="128"/>
      <c r="AF9" s="172"/>
      <c r="AG9" s="128"/>
      <c r="AH9" s="172"/>
      <c r="AI9" s="128"/>
      <c r="AJ9" s="243"/>
      <c r="AK9" s="128"/>
      <c r="AL9" s="172"/>
      <c r="AM9" s="128"/>
      <c r="AN9" s="172"/>
    </row>
    <row r="10" spans="1:40" s="242" customFormat="1" ht="15" customHeight="1">
      <c r="A10" s="110" t="s">
        <v>950</v>
      </c>
      <c r="B10" s="111" t="s">
        <v>1081</v>
      </c>
      <c r="C10" s="112">
        <v>101480</v>
      </c>
      <c r="D10" s="112">
        <v>3</v>
      </c>
      <c r="E10" s="128">
        <v>3540</v>
      </c>
      <c r="F10" s="172">
        <v>4040</v>
      </c>
      <c r="G10" s="128">
        <v>7080</v>
      </c>
      <c r="H10" s="172">
        <v>8080</v>
      </c>
      <c r="I10" s="128">
        <v>3540</v>
      </c>
      <c r="J10" s="172">
        <v>4040</v>
      </c>
      <c r="K10" s="128">
        <v>7080</v>
      </c>
      <c r="L10" s="172">
        <v>8080</v>
      </c>
      <c r="M10" s="128"/>
      <c r="N10" s="172"/>
      <c r="O10" s="128"/>
      <c r="P10" s="172"/>
      <c r="Q10" s="128"/>
      <c r="R10" s="172"/>
      <c r="S10" s="128"/>
      <c r="T10" s="172"/>
      <c r="U10" s="128"/>
      <c r="V10" s="172"/>
      <c r="W10" s="128"/>
      <c r="X10" s="172"/>
      <c r="Y10" s="128"/>
      <c r="Z10" s="172"/>
      <c r="AA10" s="128"/>
      <c r="AB10" s="172"/>
      <c r="AC10" s="128"/>
      <c r="AD10" s="172"/>
      <c r="AE10" s="128"/>
      <c r="AF10" s="172"/>
      <c r="AG10" s="128"/>
      <c r="AH10" s="172"/>
      <c r="AI10" s="128"/>
      <c r="AJ10" s="243"/>
      <c r="AK10" s="128"/>
      <c r="AL10" s="172"/>
      <c r="AM10" s="128"/>
      <c r="AN10" s="172"/>
    </row>
    <row r="11" spans="1:40" s="242" customFormat="1" ht="15" customHeight="1">
      <c r="A11" s="110" t="s">
        <v>950</v>
      </c>
      <c r="B11" s="111" t="s">
        <v>1082</v>
      </c>
      <c r="C11" s="112">
        <v>102094</v>
      </c>
      <c r="D11" s="112">
        <v>3</v>
      </c>
      <c r="E11" s="128">
        <v>3770</v>
      </c>
      <c r="F11" s="172">
        <v>4290</v>
      </c>
      <c r="G11" s="128">
        <v>7160</v>
      </c>
      <c r="H11" s="172">
        <v>8100</v>
      </c>
      <c r="I11" s="128">
        <v>3956</v>
      </c>
      <c r="J11" s="172">
        <v>4488</v>
      </c>
      <c r="K11" s="128">
        <v>7532</v>
      </c>
      <c r="L11" s="172">
        <v>8496</v>
      </c>
      <c r="M11" s="128"/>
      <c r="N11" s="172"/>
      <c r="O11" s="128"/>
      <c r="P11" s="172"/>
      <c r="Q11" s="128">
        <v>10307</v>
      </c>
      <c r="R11" s="172">
        <v>12877</v>
      </c>
      <c r="S11" s="128">
        <v>20451</v>
      </c>
      <c r="T11" s="172">
        <v>23917</v>
      </c>
      <c r="U11" s="128"/>
      <c r="V11" s="172"/>
      <c r="W11" s="128"/>
      <c r="X11" s="172"/>
      <c r="Y11" s="128"/>
      <c r="Z11" s="172"/>
      <c r="AA11" s="128"/>
      <c r="AB11" s="172"/>
      <c r="AC11" s="128"/>
      <c r="AD11" s="172"/>
      <c r="AE11" s="128"/>
      <c r="AF11" s="172"/>
      <c r="AG11" s="128"/>
      <c r="AH11" s="172"/>
      <c r="AI11" s="128"/>
      <c r="AJ11" s="243"/>
      <c r="AK11" s="128"/>
      <c r="AL11" s="172"/>
      <c r="AM11" s="128"/>
      <c r="AN11" s="172"/>
    </row>
    <row r="12" spans="1:40" s="242" customFormat="1" ht="15" customHeight="1">
      <c r="A12" s="110" t="s">
        <v>950</v>
      </c>
      <c r="B12" s="111" t="s">
        <v>1083</v>
      </c>
      <c r="C12" s="112">
        <v>100724</v>
      </c>
      <c r="D12" s="112">
        <v>4</v>
      </c>
      <c r="E12" s="128">
        <v>3600</v>
      </c>
      <c r="F12" s="172">
        <v>4008</v>
      </c>
      <c r="G12" s="128">
        <v>7200</v>
      </c>
      <c r="H12" s="172">
        <v>8016</v>
      </c>
      <c r="I12" s="128">
        <v>4128</v>
      </c>
      <c r="J12" s="172">
        <v>4608</v>
      </c>
      <c r="K12" s="128">
        <v>8256</v>
      </c>
      <c r="L12" s="172">
        <v>9216</v>
      </c>
      <c r="M12" s="128"/>
      <c r="N12" s="172"/>
      <c r="O12" s="128"/>
      <c r="P12" s="172"/>
      <c r="Q12" s="128"/>
      <c r="R12" s="172"/>
      <c r="S12" s="128"/>
      <c r="T12" s="172"/>
      <c r="U12" s="128"/>
      <c r="V12" s="172"/>
      <c r="W12" s="128"/>
      <c r="X12" s="172"/>
      <c r="Y12" s="128"/>
      <c r="Z12" s="172"/>
      <c r="AA12" s="128"/>
      <c r="AB12" s="172"/>
      <c r="AC12" s="128"/>
      <c r="AD12" s="172"/>
      <c r="AE12" s="128"/>
      <c r="AF12" s="172"/>
      <c r="AG12" s="128"/>
      <c r="AH12" s="172"/>
      <c r="AI12" s="128"/>
      <c r="AJ12" s="243"/>
      <c r="AK12" s="128"/>
      <c r="AL12" s="172"/>
      <c r="AM12" s="128"/>
      <c r="AN12" s="172"/>
    </row>
    <row r="13" spans="1:40" s="242" customFormat="1" ht="15" customHeight="1">
      <c r="A13" s="110" t="s">
        <v>950</v>
      </c>
      <c r="B13" s="111" t="s">
        <v>1084</v>
      </c>
      <c r="C13" s="112">
        <v>100830</v>
      </c>
      <c r="D13" s="112">
        <v>4</v>
      </c>
      <c r="E13" s="128">
        <v>4130</v>
      </c>
      <c r="F13" s="172">
        <v>4460</v>
      </c>
      <c r="G13" s="128">
        <v>11930</v>
      </c>
      <c r="H13" s="172">
        <v>12920</v>
      </c>
      <c r="I13" s="128">
        <v>3944</v>
      </c>
      <c r="J13" s="172">
        <v>4256</v>
      </c>
      <c r="K13" s="128">
        <v>11432</v>
      </c>
      <c r="L13" s="172">
        <v>12368</v>
      </c>
      <c r="M13" s="128"/>
      <c r="N13" s="172"/>
      <c r="O13" s="128"/>
      <c r="P13" s="172"/>
      <c r="Q13" s="128"/>
      <c r="R13" s="172"/>
      <c r="S13" s="128"/>
      <c r="T13" s="172"/>
      <c r="U13" s="128"/>
      <c r="V13" s="172"/>
      <c r="W13" s="128"/>
      <c r="X13" s="172"/>
      <c r="Y13" s="128"/>
      <c r="Z13" s="172"/>
      <c r="AA13" s="128"/>
      <c r="AB13" s="172"/>
      <c r="AC13" s="128"/>
      <c r="AD13" s="172"/>
      <c r="AE13" s="128"/>
      <c r="AF13" s="172"/>
      <c r="AG13" s="128"/>
      <c r="AH13" s="172"/>
      <c r="AI13" s="128"/>
      <c r="AJ13" s="243"/>
      <c r="AK13" s="128"/>
      <c r="AL13" s="172"/>
      <c r="AM13" s="128"/>
      <c r="AN13" s="172"/>
    </row>
    <row r="14" spans="1:40" s="242" customFormat="1" ht="15" customHeight="1">
      <c r="A14" s="110" t="s">
        <v>950</v>
      </c>
      <c r="B14" s="111" t="s">
        <v>1085</v>
      </c>
      <c r="C14" s="112">
        <v>102368</v>
      </c>
      <c r="D14" s="112">
        <v>4</v>
      </c>
      <c r="E14" s="128">
        <v>3842</v>
      </c>
      <c r="F14" s="172">
        <v>4162</v>
      </c>
      <c r="G14" s="128">
        <v>7372</v>
      </c>
      <c r="H14" s="172">
        <v>8012</v>
      </c>
      <c r="I14" s="128">
        <v>4176</v>
      </c>
      <c r="J14" s="172">
        <v>4512</v>
      </c>
      <c r="K14" s="128">
        <v>8040</v>
      </c>
      <c r="L14" s="172">
        <v>8712</v>
      </c>
      <c r="M14" s="128"/>
      <c r="N14" s="172"/>
      <c r="O14" s="128"/>
      <c r="P14" s="172"/>
      <c r="Q14" s="128"/>
      <c r="R14" s="172"/>
      <c r="S14" s="128"/>
      <c r="T14" s="172"/>
      <c r="U14" s="128"/>
      <c r="V14" s="172"/>
      <c r="W14" s="128"/>
      <c r="X14" s="172"/>
      <c r="Y14" s="128"/>
      <c r="Z14" s="172"/>
      <c r="AA14" s="128"/>
      <c r="AB14" s="172"/>
      <c r="AC14" s="128"/>
      <c r="AD14" s="172"/>
      <c r="AE14" s="128"/>
      <c r="AF14" s="172"/>
      <c r="AG14" s="128"/>
      <c r="AH14" s="172"/>
      <c r="AI14" s="128"/>
      <c r="AJ14" s="243"/>
      <c r="AK14" s="128"/>
      <c r="AL14" s="172"/>
      <c r="AM14" s="128"/>
      <c r="AN14" s="172"/>
    </row>
    <row r="15" spans="1:40" s="242" customFormat="1" ht="15" customHeight="1">
      <c r="A15" s="110" t="s">
        <v>950</v>
      </c>
      <c r="B15" s="111" t="s">
        <v>1087</v>
      </c>
      <c r="C15" s="112">
        <v>101879</v>
      </c>
      <c r="D15" s="112">
        <v>4</v>
      </c>
      <c r="E15" s="128">
        <v>3700</v>
      </c>
      <c r="F15" s="172">
        <v>4096</v>
      </c>
      <c r="G15" s="128">
        <v>6904</v>
      </c>
      <c r="H15" s="172">
        <v>7624</v>
      </c>
      <c r="I15" s="128">
        <v>3994</v>
      </c>
      <c r="J15" s="172">
        <v>4402</v>
      </c>
      <c r="K15" s="128">
        <v>7546</v>
      </c>
      <c r="L15" s="172">
        <v>8290</v>
      </c>
      <c r="M15" s="128"/>
      <c r="N15" s="172"/>
      <c r="O15" s="128"/>
      <c r="P15" s="172"/>
      <c r="Q15" s="128"/>
      <c r="R15" s="172"/>
      <c r="S15" s="128"/>
      <c r="T15" s="172"/>
      <c r="U15" s="128"/>
      <c r="V15" s="172"/>
      <c r="W15" s="128"/>
      <c r="X15" s="172"/>
      <c r="Y15" s="128"/>
      <c r="Z15" s="172"/>
      <c r="AA15" s="128"/>
      <c r="AB15" s="172"/>
      <c r="AC15" s="128"/>
      <c r="AD15" s="172"/>
      <c r="AE15" s="128"/>
      <c r="AF15" s="172"/>
      <c r="AG15" s="128"/>
      <c r="AH15" s="172"/>
      <c r="AI15" s="128"/>
      <c r="AJ15" s="243"/>
      <c r="AK15" s="128"/>
      <c r="AL15" s="172"/>
      <c r="AM15" s="128"/>
      <c r="AN15" s="172"/>
    </row>
    <row r="16" spans="1:40" s="242" customFormat="1" ht="15" customHeight="1">
      <c r="A16" s="110" t="s">
        <v>950</v>
      </c>
      <c r="B16" s="111" t="s">
        <v>1088</v>
      </c>
      <c r="C16" s="112">
        <v>102322</v>
      </c>
      <c r="D16" s="112">
        <v>5</v>
      </c>
      <c r="E16" s="128">
        <v>3842</v>
      </c>
      <c r="F16" s="172">
        <v>4162</v>
      </c>
      <c r="G16" s="128">
        <v>7372</v>
      </c>
      <c r="H16" s="172">
        <v>8012</v>
      </c>
      <c r="I16" s="128">
        <v>4176</v>
      </c>
      <c r="J16" s="172">
        <v>4512</v>
      </c>
      <c r="K16" s="128">
        <v>8040</v>
      </c>
      <c r="L16" s="172">
        <v>8712</v>
      </c>
      <c r="M16" s="128"/>
      <c r="N16" s="172"/>
      <c r="O16" s="128"/>
      <c r="P16" s="172"/>
      <c r="Q16" s="128"/>
      <c r="R16" s="172"/>
      <c r="S16" s="128"/>
      <c r="T16" s="172"/>
      <c r="U16" s="128"/>
      <c r="V16" s="172"/>
      <c r="W16" s="128"/>
      <c r="X16" s="172"/>
      <c r="Y16" s="128"/>
      <c r="Z16" s="172"/>
      <c r="AA16" s="128"/>
      <c r="AB16" s="172"/>
      <c r="AC16" s="128"/>
      <c r="AD16" s="172"/>
      <c r="AE16" s="128"/>
      <c r="AF16" s="172"/>
      <c r="AG16" s="128"/>
      <c r="AH16" s="172"/>
      <c r="AI16" s="128"/>
      <c r="AJ16" s="243"/>
      <c r="AK16" s="128"/>
      <c r="AL16" s="172"/>
      <c r="AM16" s="128"/>
      <c r="AN16" s="172"/>
    </row>
    <row r="17" spans="1:40" s="242" customFormat="1" ht="15" customHeight="1">
      <c r="A17" s="110" t="s">
        <v>950</v>
      </c>
      <c r="B17" s="111" t="s">
        <v>1089</v>
      </c>
      <c r="C17" s="112">
        <v>102359</v>
      </c>
      <c r="D17" s="112">
        <v>5</v>
      </c>
      <c r="E17" s="128">
        <v>3600</v>
      </c>
      <c r="F17" s="172">
        <v>3920</v>
      </c>
      <c r="G17" s="128">
        <v>7130</v>
      </c>
      <c r="H17" s="172">
        <v>7770</v>
      </c>
      <c r="I17" s="128">
        <v>3934</v>
      </c>
      <c r="J17" s="172">
        <v>4270</v>
      </c>
      <c r="K17" s="128">
        <v>7798</v>
      </c>
      <c r="L17" s="172">
        <v>8470</v>
      </c>
      <c r="M17" s="128"/>
      <c r="N17" s="172"/>
      <c r="O17" s="128"/>
      <c r="P17" s="172"/>
      <c r="Q17" s="128"/>
      <c r="R17" s="172"/>
      <c r="S17" s="128"/>
      <c r="T17" s="172"/>
      <c r="U17" s="128"/>
      <c r="V17" s="172"/>
      <c r="W17" s="128"/>
      <c r="X17" s="172"/>
      <c r="Y17" s="128"/>
      <c r="Z17" s="172"/>
      <c r="AA17" s="128"/>
      <c r="AB17" s="172"/>
      <c r="AC17" s="128"/>
      <c r="AD17" s="172"/>
      <c r="AE17" s="128"/>
      <c r="AF17" s="172"/>
      <c r="AG17" s="128"/>
      <c r="AH17" s="172"/>
      <c r="AI17" s="128"/>
      <c r="AJ17" s="243"/>
      <c r="AK17" s="128"/>
      <c r="AL17" s="172"/>
      <c r="AM17" s="128"/>
      <c r="AN17" s="172"/>
    </row>
    <row r="18" spans="1:40" s="242" customFormat="1" ht="15" customHeight="1">
      <c r="A18" s="110" t="s">
        <v>950</v>
      </c>
      <c r="B18" s="111" t="s">
        <v>1086</v>
      </c>
      <c r="C18" s="112">
        <v>101709</v>
      </c>
      <c r="D18" s="112">
        <v>5</v>
      </c>
      <c r="E18" s="128">
        <v>4784</v>
      </c>
      <c r="F18" s="172">
        <v>5474</v>
      </c>
      <c r="G18" s="128">
        <v>9284</v>
      </c>
      <c r="H18" s="172">
        <v>10664</v>
      </c>
      <c r="I18" s="128">
        <v>4106</v>
      </c>
      <c r="J18" s="172">
        <v>4682</v>
      </c>
      <c r="K18" s="128">
        <v>7946</v>
      </c>
      <c r="L18" s="172">
        <v>9098</v>
      </c>
      <c r="M18" s="128"/>
      <c r="N18" s="172"/>
      <c r="O18" s="128"/>
      <c r="P18" s="172"/>
      <c r="Q18" s="128"/>
      <c r="R18" s="172"/>
      <c r="S18" s="128"/>
      <c r="T18" s="172"/>
      <c r="U18" s="128"/>
      <c r="V18" s="172"/>
      <c r="W18" s="128"/>
      <c r="X18" s="172"/>
      <c r="Y18" s="128"/>
      <c r="Z18" s="172"/>
      <c r="AA18" s="128"/>
      <c r="AB18" s="172"/>
      <c r="AC18" s="128"/>
      <c r="AD18" s="172"/>
      <c r="AE18" s="128"/>
      <c r="AF18" s="172"/>
      <c r="AG18" s="128"/>
      <c r="AH18" s="172"/>
      <c r="AI18" s="128"/>
      <c r="AJ18" s="243"/>
      <c r="AK18" s="128"/>
      <c r="AL18" s="172"/>
      <c r="AM18" s="128"/>
      <c r="AN18" s="172"/>
    </row>
    <row r="19" spans="1:40" s="242" customFormat="1" ht="15" customHeight="1">
      <c r="A19" s="110" t="s">
        <v>950</v>
      </c>
      <c r="B19" s="110" t="s">
        <v>1090</v>
      </c>
      <c r="C19" s="113">
        <v>101587</v>
      </c>
      <c r="D19" s="112">
        <v>5</v>
      </c>
      <c r="E19" s="128">
        <v>3710</v>
      </c>
      <c r="F19" s="172">
        <v>4196</v>
      </c>
      <c r="G19" s="128">
        <v>6950</v>
      </c>
      <c r="H19" s="172">
        <v>8022</v>
      </c>
      <c r="I19" s="128">
        <v>4200</v>
      </c>
      <c r="J19" s="172">
        <v>4416</v>
      </c>
      <c r="K19" s="128">
        <v>8280</v>
      </c>
      <c r="L19" s="172">
        <v>8712</v>
      </c>
      <c r="M19" s="128"/>
      <c r="N19" s="172"/>
      <c r="O19" s="128"/>
      <c r="P19" s="172"/>
      <c r="Q19" s="128"/>
      <c r="R19" s="172"/>
      <c r="S19" s="128"/>
      <c r="T19" s="172"/>
      <c r="U19" s="128"/>
      <c r="V19" s="172"/>
      <c r="W19" s="128"/>
      <c r="X19" s="172"/>
      <c r="Y19" s="128"/>
      <c r="Z19" s="172"/>
      <c r="AA19" s="128"/>
      <c r="AB19" s="172"/>
      <c r="AC19" s="128"/>
      <c r="AD19" s="172"/>
      <c r="AE19" s="128"/>
      <c r="AF19" s="172"/>
      <c r="AG19" s="128"/>
      <c r="AH19" s="172"/>
      <c r="AI19" s="128"/>
      <c r="AJ19" s="243"/>
      <c r="AK19" s="128"/>
      <c r="AL19" s="172"/>
      <c r="AM19" s="128"/>
      <c r="AN19" s="172"/>
    </row>
    <row r="20" spans="1:40" s="242" customFormat="1" ht="15" customHeight="1">
      <c r="A20" s="110" t="s">
        <v>950</v>
      </c>
      <c r="B20" s="111" t="s">
        <v>1091</v>
      </c>
      <c r="C20" s="112">
        <v>100812</v>
      </c>
      <c r="D20" s="112">
        <v>6</v>
      </c>
      <c r="E20" s="128">
        <v>3570</v>
      </c>
      <c r="F20" s="172">
        <v>3870</v>
      </c>
      <c r="G20" s="128">
        <v>6720</v>
      </c>
      <c r="H20" s="172">
        <v>7170</v>
      </c>
      <c r="I20" s="128"/>
      <c r="J20" s="172" t="s">
        <v>595</v>
      </c>
      <c r="K20" s="128"/>
      <c r="L20" s="172" t="s">
        <v>595</v>
      </c>
      <c r="M20" s="128"/>
      <c r="N20" s="172"/>
      <c r="O20" s="128"/>
      <c r="P20" s="172"/>
      <c r="Q20" s="128"/>
      <c r="R20" s="172"/>
      <c r="S20" s="128"/>
      <c r="T20" s="172"/>
      <c r="U20" s="128"/>
      <c r="V20" s="172"/>
      <c r="W20" s="128"/>
      <c r="X20" s="172"/>
      <c r="Y20" s="128"/>
      <c r="Z20" s="172"/>
      <c r="AA20" s="128"/>
      <c r="AB20" s="172"/>
      <c r="AC20" s="128"/>
      <c r="AD20" s="172"/>
      <c r="AE20" s="128"/>
      <c r="AF20" s="172"/>
      <c r="AG20" s="128"/>
      <c r="AH20" s="172"/>
      <c r="AI20" s="128"/>
      <c r="AJ20" s="243"/>
      <c r="AK20" s="128"/>
      <c r="AL20" s="172"/>
      <c r="AM20" s="128"/>
      <c r="AN20" s="172"/>
    </row>
    <row r="21" spans="1:40" s="242" customFormat="1" ht="15" customHeight="1">
      <c r="A21" s="110" t="s">
        <v>950</v>
      </c>
      <c r="B21" s="111" t="s">
        <v>1092</v>
      </c>
      <c r="C21" s="112">
        <v>101514</v>
      </c>
      <c r="D21" s="112">
        <v>8</v>
      </c>
      <c r="E21" s="128">
        <v>2520</v>
      </c>
      <c r="F21" s="172">
        <v>2700</v>
      </c>
      <c r="G21" s="128">
        <v>4560</v>
      </c>
      <c r="H21" s="172">
        <v>4830</v>
      </c>
      <c r="I21" s="128"/>
      <c r="J21" s="172"/>
      <c r="K21" s="128"/>
      <c r="L21" s="172"/>
      <c r="M21" s="128"/>
      <c r="N21" s="172"/>
      <c r="O21" s="128"/>
      <c r="P21" s="172"/>
      <c r="Q21" s="128"/>
      <c r="R21" s="172"/>
      <c r="S21" s="128"/>
      <c r="T21" s="172"/>
      <c r="U21" s="128"/>
      <c r="V21" s="172"/>
      <c r="W21" s="128"/>
      <c r="X21" s="172"/>
      <c r="Y21" s="128"/>
      <c r="Z21" s="172"/>
      <c r="AA21" s="128"/>
      <c r="AB21" s="172"/>
      <c r="AC21" s="128"/>
      <c r="AD21" s="172"/>
      <c r="AE21" s="128"/>
      <c r="AF21" s="172"/>
      <c r="AG21" s="128"/>
      <c r="AH21" s="172"/>
      <c r="AI21" s="128"/>
      <c r="AJ21" s="243"/>
      <c r="AK21" s="128"/>
      <c r="AL21" s="172"/>
      <c r="AM21" s="128"/>
      <c r="AN21" s="172"/>
    </row>
    <row r="22" spans="1:40" s="242" customFormat="1" ht="15" customHeight="1">
      <c r="A22" s="110" t="s">
        <v>950</v>
      </c>
      <c r="B22" s="111" t="s">
        <v>1093</v>
      </c>
      <c r="C22" s="112">
        <v>102429</v>
      </c>
      <c r="D22" s="112">
        <v>9</v>
      </c>
      <c r="E22" s="128">
        <v>2520</v>
      </c>
      <c r="F22" s="172">
        <v>2700</v>
      </c>
      <c r="G22" s="128">
        <v>4560</v>
      </c>
      <c r="H22" s="172">
        <v>4830</v>
      </c>
      <c r="I22" s="128"/>
      <c r="J22" s="172"/>
      <c r="K22" s="128"/>
      <c r="L22" s="172"/>
      <c r="M22" s="128"/>
      <c r="N22" s="172"/>
      <c r="O22" s="128"/>
      <c r="P22" s="172"/>
      <c r="Q22" s="128"/>
      <c r="R22" s="172"/>
      <c r="S22" s="128"/>
      <c r="T22" s="172"/>
      <c r="U22" s="128"/>
      <c r="V22" s="172"/>
      <c r="W22" s="128"/>
      <c r="X22" s="172"/>
      <c r="Y22" s="128"/>
      <c r="Z22" s="172"/>
      <c r="AA22" s="128"/>
      <c r="AB22" s="172"/>
      <c r="AC22" s="128"/>
      <c r="AD22" s="172"/>
      <c r="AE22" s="128"/>
      <c r="AF22" s="172"/>
      <c r="AG22" s="128"/>
      <c r="AH22" s="172"/>
      <c r="AI22" s="128"/>
      <c r="AJ22" s="243"/>
      <c r="AK22" s="128"/>
      <c r="AL22" s="172"/>
      <c r="AM22" s="128"/>
      <c r="AN22" s="172"/>
    </row>
    <row r="23" spans="1:40" s="242" customFormat="1" ht="15" customHeight="1">
      <c r="A23" s="110" t="s">
        <v>950</v>
      </c>
      <c r="B23" s="111" t="s">
        <v>1094</v>
      </c>
      <c r="C23" s="112">
        <v>102030</v>
      </c>
      <c r="D23" s="112">
        <v>9</v>
      </c>
      <c r="E23" s="128">
        <v>2520</v>
      </c>
      <c r="F23" s="172">
        <v>2700</v>
      </c>
      <c r="G23" s="128">
        <v>4560</v>
      </c>
      <c r="H23" s="172">
        <v>4830</v>
      </c>
      <c r="I23" s="128"/>
      <c r="J23" s="172"/>
      <c r="K23" s="128"/>
      <c r="L23" s="172"/>
      <c r="M23" s="128"/>
      <c r="N23" s="172"/>
      <c r="O23" s="128"/>
      <c r="P23" s="172"/>
      <c r="Q23" s="128"/>
      <c r="R23" s="172"/>
      <c r="S23" s="128"/>
      <c r="T23" s="172"/>
      <c r="U23" s="128"/>
      <c r="V23" s="172"/>
      <c r="W23" s="128"/>
      <c r="X23" s="172"/>
      <c r="Y23" s="128"/>
      <c r="Z23" s="172"/>
      <c r="AA23" s="128"/>
      <c r="AB23" s="172"/>
      <c r="AC23" s="128"/>
      <c r="AD23" s="172"/>
      <c r="AE23" s="128"/>
      <c r="AF23" s="172"/>
      <c r="AG23" s="128"/>
      <c r="AH23" s="172"/>
      <c r="AI23" s="128"/>
      <c r="AJ23" s="243"/>
      <c r="AK23" s="128"/>
      <c r="AL23" s="172"/>
      <c r="AM23" s="128"/>
      <c r="AN23" s="172"/>
    </row>
    <row r="24" spans="1:40" s="242" customFormat="1" ht="15" customHeight="1">
      <c r="A24" s="110" t="s">
        <v>950</v>
      </c>
      <c r="B24" s="111" t="s">
        <v>1095</v>
      </c>
      <c r="C24" s="112">
        <v>101240</v>
      </c>
      <c r="D24" s="112">
        <v>9</v>
      </c>
      <c r="E24" s="128">
        <v>2520</v>
      </c>
      <c r="F24" s="172">
        <v>2700</v>
      </c>
      <c r="G24" s="128">
        <v>4560</v>
      </c>
      <c r="H24" s="172">
        <v>4830</v>
      </c>
      <c r="I24" s="128"/>
      <c r="J24" s="172"/>
      <c r="K24" s="128"/>
      <c r="L24" s="172"/>
      <c r="M24" s="128"/>
      <c r="N24" s="172"/>
      <c r="O24" s="128"/>
      <c r="P24" s="172"/>
      <c r="Q24" s="128"/>
      <c r="R24" s="172"/>
      <c r="S24" s="128"/>
      <c r="T24" s="172"/>
      <c r="U24" s="128"/>
      <c r="V24" s="172"/>
      <c r="W24" s="128"/>
      <c r="X24" s="172"/>
      <c r="Y24" s="128"/>
      <c r="Z24" s="172"/>
      <c r="AA24" s="128"/>
      <c r="AB24" s="172"/>
      <c r="AC24" s="128"/>
      <c r="AD24" s="172"/>
      <c r="AE24" s="128"/>
      <c r="AF24" s="172"/>
      <c r="AG24" s="128"/>
      <c r="AH24" s="172"/>
      <c r="AI24" s="128"/>
      <c r="AJ24" s="243"/>
      <c r="AK24" s="128"/>
      <c r="AL24" s="172"/>
      <c r="AM24" s="128"/>
      <c r="AN24" s="172"/>
    </row>
    <row r="25" spans="1:40" s="242" customFormat="1" ht="15" customHeight="1">
      <c r="A25" s="110" t="s">
        <v>950</v>
      </c>
      <c r="B25" s="111" t="s">
        <v>1096</v>
      </c>
      <c r="C25" s="112">
        <v>101286</v>
      </c>
      <c r="D25" s="112">
        <v>9</v>
      </c>
      <c r="E25" s="128">
        <v>2340</v>
      </c>
      <c r="F25" s="172">
        <v>2700</v>
      </c>
      <c r="G25" s="128">
        <v>4260</v>
      </c>
      <c r="H25" s="172">
        <v>4830</v>
      </c>
      <c r="I25" s="128"/>
      <c r="J25" s="172"/>
      <c r="K25" s="128"/>
      <c r="L25" s="172"/>
      <c r="M25" s="128"/>
      <c r="N25" s="172"/>
      <c r="O25" s="128"/>
      <c r="P25" s="172"/>
      <c r="Q25" s="128"/>
      <c r="R25" s="172"/>
      <c r="S25" s="128"/>
      <c r="T25" s="172"/>
      <c r="U25" s="128"/>
      <c r="V25" s="172"/>
      <c r="W25" s="128"/>
      <c r="X25" s="172"/>
      <c r="Y25" s="128"/>
      <c r="Z25" s="172"/>
      <c r="AA25" s="128"/>
      <c r="AB25" s="172"/>
      <c r="AC25" s="128"/>
      <c r="AD25" s="172"/>
      <c r="AE25" s="128"/>
      <c r="AF25" s="172"/>
      <c r="AG25" s="128"/>
      <c r="AH25" s="172"/>
      <c r="AI25" s="128"/>
      <c r="AJ25" s="243"/>
      <c r="AK25" s="128"/>
      <c r="AL25" s="172"/>
      <c r="AM25" s="128"/>
      <c r="AN25" s="172"/>
    </row>
    <row r="26" spans="1:40" s="242" customFormat="1" ht="15" customHeight="1">
      <c r="A26" s="110" t="s">
        <v>950</v>
      </c>
      <c r="B26" s="111" t="s">
        <v>1097</v>
      </c>
      <c r="C26" s="112">
        <v>101161</v>
      </c>
      <c r="D26" s="112">
        <v>9</v>
      </c>
      <c r="E26" s="128">
        <v>2520</v>
      </c>
      <c r="F26" s="172">
        <v>2790</v>
      </c>
      <c r="G26" s="128">
        <v>4560</v>
      </c>
      <c r="H26" s="172">
        <v>4920</v>
      </c>
      <c r="I26" s="128"/>
      <c r="J26" s="172"/>
      <c r="K26" s="128"/>
      <c r="L26" s="172"/>
      <c r="M26" s="128"/>
      <c r="N26" s="172"/>
      <c r="O26" s="128"/>
      <c r="P26" s="172"/>
      <c r="Q26" s="128"/>
      <c r="R26" s="172"/>
      <c r="S26" s="128"/>
      <c r="T26" s="172"/>
      <c r="U26" s="128"/>
      <c r="V26" s="172"/>
      <c r="W26" s="128"/>
      <c r="X26" s="172"/>
      <c r="Y26" s="128"/>
      <c r="Z26" s="172"/>
      <c r="AA26" s="128"/>
      <c r="AB26" s="172"/>
      <c r="AC26" s="128"/>
      <c r="AD26" s="172"/>
      <c r="AE26" s="128"/>
      <c r="AF26" s="172"/>
      <c r="AG26" s="128"/>
      <c r="AH26" s="172"/>
      <c r="AI26" s="128"/>
      <c r="AJ26" s="243"/>
      <c r="AK26" s="128"/>
      <c r="AL26" s="172"/>
      <c r="AM26" s="128"/>
      <c r="AN26" s="172"/>
    </row>
    <row r="27" spans="1:40" s="242" customFormat="1" ht="15" customHeight="1">
      <c r="A27" s="110" t="s">
        <v>950</v>
      </c>
      <c r="B27" s="111" t="s">
        <v>1098</v>
      </c>
      <c r="C27" s="112">
        <v>101505</v>
      </c>
      <c r="D27" s="112">
        <v>9</v>
      </c>
      <c r="E27" s="128">
        <v>2520</v>
      </c>
      <c r="F27" s="172">
        <v>3060</v>
      </c>
      <c r="G27" s="128">
        <v>4560</v>
      </c>
      <c r="H27" s="172">
        <v>5190</v>
      </c>
      <c r="I27" s="128"/>
      <c r="J27" s="172"/>
      <c r="K27" s="128"/>
      <c r="L27" s="172"/>
      <c r="M27" s="128"/>
      <c r="N27" s="172"/>
      <c r="O27" s="128"/>
      <c r="P27" s="172"/>
      <c r="Q27" s="128"/>
      <c r="R27" s="172"/>
      <c r="S27" s="128"/>
      <c r="T27" s="172"/>
      <c r="U27" s="128"/>
      <c r="V27" s="172"/>
      <c r="W27" s="128"/>
      <c r="X27" s="172"/>
      <c r="Y27" s="128"/>
      <c r="Z27" s="172"/>
      <c r="AA27" s="128"/>
      <c r="AB27" s="172"/>
      <c r="AC27" s="128"/>
      <c r="AD27" s="172"/>
      <c r="AE27" s="128"/>
      <c r="AF27" s="172"/>
      <c r="AG27" s="128"/>
      <c r="AH27" s="172"/>
      <c r="AI27" s="128"/>
      <c r="AJ27" s="243"/>
      <c r="AK27" s="128"/>
      <c r="AL27" s="172"/>
      <c r="AM27" s="128"/>
      <c r="AN27" s="172"/>
    </row>
    <row r="28" spans="1:40" s="242" customFormat="1" ht="15" customHeight="1">
      <c r="A28" s="110" t="s">
        <v>950</v>
      </c>
      <c r="B28" s="111" t="s">
        <v>1099</v>
      </c>
      <c r="C28" s="112">
        <v>101736</v>
      </c>
      <c r="D28" s="112">
        <v>9</v>
      </c>
      <c r="E28" s="128">
        <v>2520</v>
      </c>
      <c r="F28" s="172">
        <v>2700</v>
      </c>
      <c r="G28" s="128">
        <v>4560</v>
      </c>
      <c r="H28" s="172">
        <v>4830</v>
      </c>
      <c r="I28" s="128"/>
      <c r="J28" s="172"/>
      <c r="K28" s="128"/>
      <c r="L28" s="172"/>
      <c r="M28" s="128"/>
      <c r="N28" s="172"/>
      <c r="O28" s="128"/>
      <c r="P28" s="172"/>
      <c r="Q28" s="128"/>
      <c r="R28" s="172"/>
      <c r="S28" s="128"/>
      <c r="T28" s="172"/>
      <c r="U28" s="128"/>
      <c r="V28" s="172"/>
      <c r="W28" s="128"/>
      <c r="X28" s="172"/>
      <c r="Y28" s="128"/>
      <c r="Z28" s="172"/>
      <c r="AA28" s="128"/>
      <c r="AB28" s="172"/>
      <c r="AC28" s="128"/>
      <c r="AD28" s="172"/>
      <c r="AE28" s="128"/>
      <c r="AF28" s="172"/>
      <c r="AG28" s="128"/>
      <c r="AH28" s="172"/>
      <c r="AI28" s="128"/>
      <c r="AJ28" s="243"/>
      <c r="AK28" s="128"/>
      <c r="AL28" s="172"/>
      <c r="AM28" s="128"/>
      <c r="AN28" s="172"/>
    </row>
    <row r="29" spans="1:40" s="242" customFormat="1" ht="15" customHeight="1">
      <c r="A29" s="110" t="s">
        <v>950</v>
      </c>
      <c r="B29" s="111" t="s">
        <v>1100</v>
      </c>
      <c r="C29" s="112">
        <v>102067</v>
      </c>
      <c r="D29" s="112">
        <v>9</v>
      </c>
      <c r="E29" s="128">
        <v>2280</v>
      </c>
      <c r="F29" s="172">
        <v>2700</v>
      </c>
      <c r="G29" s="128">
        <v>4080</v>
      </c>
      <c r="H29" s="172">
        <v>4830</v>
      </c>
      <c r="I29" s="128"/>
      <c r="J29" s="172"/>
      <c r="K29" s="128"/>
      <c r="L29" s="172"/>
      <c r="M29" s="128"/>
      <c r="N29" s="172"/>
      <c r="O29" s="128"/>
      <c r="P29" s="172"/>
      <c r="Q29" s="128"/>
      <c r="R29" s="172"/>
      <c r="S29" s="128"/>
      <c r="T29" s="172"/>
      <c r="U29" s="128"/>
      <c r="V29" s="172"/>
      <c r="W29" s="128"/>
      <c r="X29" s="172"/>
      <c r="Y29" s="128"/>
      <c r="Z29" s="172"/>
      <c r="AA29" s="128"/>
      <c r="AB29" s="172"/>
      <c r="AC29" s="128"/>
      <c r="AD29" s="172"/>
      <c r="AE29" s="128"/>
      <c r="AF29" s="172"/>
      <c r="AG29" s="128"/>
      <c r="AH29" s="172"/>
      <c r="AI29" s="128"/>
      <c r="AJ29" s="243"/>
      <c r="AK29" s="128"/>
      <c r="AL29" s="172"/>
      <c r="AM29" s="128"/>
      <c r="AN29" s="172"/>
    </row>
    <row r="30" spans="1:40" s="242" customFormat="1" ht="15" customHeight="1">
      <c r="A30" s="110" t="s">
        <v>950</v>
      </c>
      <c r="B30" s="111" t="s">
        <v>1101</v>
      </c>
      <c r="C30" s="112">
        <v>251260</v>
      </c>
      <c r="D30" s="112">
        <v>9</v>
      </c>
      <c r="E30" s="128">
        <v>2520</v>
      </c>
      <c r="F30" s="172">
        <v>2700</v>
      </c>
      <c r="G30" s="128">
        <v>4560</v>
      </c>
      <c r="H30" s="172">
        <v>4830</v>
      </c>
      <c r="I30" s="128"/>
      <c r="J30" s="172"/>
      <c r="K30" s="128"/>
      <c r="L30" s="172"/>
      <c r="M30" s="128"/>
      <c r="N30" s="172"/>
      <c r="O30" s="128"/>
      <c r="P30" s="172"/>
      <c r="Q30" s="128"/>
      <c r="R30" s="172"/>
      <c r="S30" s="128"/>
      <c r="T30" s="172"/>
      <c r="U30" s="128"/>
      <c r="V30" s="172"/>
      <c r="W30" s="128"/>
      <c r="X30" s="172"/>
      <c r="Y30" s="128"/>
      <c r="Z30" s="172"/>
      <c r="AA30" s="128"/>
      <c r="AB30" s="172"/>
      <c r="AC30" s="128"/>
      <c r="AD30" s="172"/>
      <c r="AE30" s="128"/>
      <c r="AF30" s="172"/>
      <c r="AG30" s="128"/>
      <c r="AH30" s="172"/>
      <c r="AI30" s="128"/>
      <c r="AJ30" s="243"/>
      <c r="AK30" s="128"/>
      <c r="AL30" s="172"/>
      <c r="AM30" s="128"/>
      <c r="AN30" s="172"/>
    </row>
    <row r="31" spans="1:40" s="242" customFormat="1" ht="15" customHeight="1">
      <c r="A31" s="110" t="s">
        <v>950</v>
      </c>
      <c r="B31" s="111" t="s">
        <v>1102</v>
      </c>
      <c r="C31" s="112">
        <v>101295</v>
      </c>
      <c r="D31" s="112">
        <v>9</v>
      </c>
      <c r="E31" s="128">
        <v>2520</v>
      </c>
      <c r="F31" s="172">
        <v>2700</v>
      </c>
      <c r="G31" s="128">
        <v>4560</v>
      </c>
      <c r="H31" s="172">
        <v>4830</v>
      </c>
      <c r="I31" s="128"/>
      <c r="J31" s="172"/>
      <c r="K31" s="128"/>
      <c r="L31" s="172"/>
      <c r="M31" s="128"/>
      <c r="N31" s="172"/>
      <c r="O31" s="128"/>
      <c r="P31" s="172"/>
      <c r="Q31" s="128"/>
      <c r="R31" s="172"/>
      <c r="S31" s="128"/>
      <c r="T31" s="172"/>
      <c r="U31" s="128"/>
      <c r="V31" s="172"/>
      <c r="W31" s="128"/>
      <c r="X31" s="172"/>
      <c r="Y31" s="128"/>
      <c r="Z31" s="172"/>
      <c r="AA31" s="128"/>
      <c r="AB31" s="172"/>
      <c r="AC31" s="128"/>
      <c r="AD31" s="172"/>
      <c r="AE31" s="128"/>
      <c r="AF31" s="172"/>
      <c r="AG31" s="128"/>
      <c r="AH31" s="172"/>
      <c r="AI31" s="128"/>
      <c r="AJ31" s="243"/>
      <c r="AK31" s="128"/>
      <c r="AL31" s="172"/>
      <c r="AM31" s="128"/>
      <c r="AN31" s="172"/>
    </row>
    <row r="32" spans="1:40" s="242" customFormat="1" ht="15" customHeight="1">
      <c r="A32" s="110" t="s">
        <v>950</v>
      </c>
      <c r="B32" s="111" t="s">
        <v>1103</v>
      </c>
      <c r="C32" s="112">
        <v>101949</v>
      </c>
      <c r="D32" s="112">
        <v>10</v>
      </c>
      <c r="E32" s="128">
        <v>2520</v>
      </c>
      <c r="F32" s="172">
        <v>2700</v>
      </c>
      <c r="G32" s="128">
        <v>4560</v>
      </c>
      <c r="H32" s="172">
        <v>4830</v>
      </c>
      <c r="I32" s="128"/>
      <c r="J32" s="172"/>
      <c r="K32" s="128"/>
      <c r="L32" s="172"/>
      <c r="M32" s="128"/>
      <c r="N32" s="172"/>
      <c r="O32" s="128"/>
      <c r="P32" s="172"/>
      <c r="Q32" s="128"/>
      <c r="R32" s="172"/>
      <c r="S32" s="128"/>
      <c r="T32" s="172"/>
      <c r="U32" s="128"/>
      <c r="V32" s="172"/>
      <c r="W32" s="128"/>
      <c r="X32" s="172"/>
      <c r="Y32" s="128"/>
      <c r="Z32" s="172"/>
      <c r="AA32" s="128"/>
      <c r="AB32" s="172"/>
      <c r="AC32" s="128"/>
      <c r="AD32" s="172"/>
      <c r="AE32" s="128"/>
      <c r="AF32" s="172"/>
      <c r="AG32" s="128"/>
      <c r="AH32" s="172"/>
      <c r="AI32" s="128"/>
      <c r="AJ32" s="243"/>
      <c r="AK32" s="128"/>
      <c r="AL32" s="172"/>
      <c r="AM32" s="128"/>
      <c r="AN32" s="172"/>
    </row>
    <row r="33" spans="1:40" s="242" customFormat="1" ht="15" customHeight="1">
      <c r="A33" s="110" t="s">
        <v>950</v>
      </c>
      <c r="B33" s="111" t="s">
        <v>1104</v>
      </c>
      <c r="C33" s="112">
        <v>100760</v>
      </c>
      <c r="D33" s="112">
        <v>10</v>
      </c>
      <c r="E33" s="128">
        <v>2520</v>
      </c>
      <c r="F33" s="172">
        <v>2700</v>
      </c>
      <c r="G33" s="128">
        <v>4560</v>
      </c>
      <c r="H33" s="172">
        <v>4830</v>
      </c>
      <c r="I33" s="128"/>
      <c r="J33" s="172"/>
      <c r="K33" s="128"/>
      <c r="L33" s="172"/>
      <c r="M33" s="128"/>
      <c r="N33" s="172"/>
      <c r="O33" s="128"/>
      <c r="P33" s="172"/>
      <c r="Q33" s="128"/>
      <c r="R33" s="172"/>
      <c r="S33" s="128"/>
      <c r="T33" s="172"/>
      <c r="U33" s="128"/>
      <c r="V33" s="172"/>
      <c r="W33" s="128"/>
      <c r="X33" s="172"/>
      <c r="Y33" s="128"/>
      <c r="Z33" s="172"/>
      <c r="AA33" s="128"/>
      <c r="AB33" s="172"/>
      <c r="AC33" s="128"/>
      <c r="AD33" s="172"/>
      <c r="AE33" s="128"/>
      <c r="AF33" s="172"/>
      <c r="AG33" s="128"/>
      <c r="AH33" s="172"/>
      <c r="AI33" s="128"/>
      <c r="AJ33" s="243"/>
      <c r="AK33" s="128"/>
      <c r="AL33" s="172"/>
      <c r="AM33" s="128"/>
      <c r="AN33" s="172"/>
    </row>
    <row r="34" spans="1:40" s="242" customFormat="1" ht="15" customHeight="1">
      <c r="A34" s="110" t="s">
        <v>950</v>
      </c>
      <c r="B34" s="111" t="s">
        <v>1105</v>
      </c>
      <c r="C34" s="112">
        <v>101028</v>
      </c>
      <c r="D34" s="112">
        <v>10</v>
      </c>
      <c r="E34" s="128">
        <v>2520</v>
      </c>
      <c r="F34" s="172">
        <v>2700</v>
      </c>
      <c r="G34" s="128">
        <v>4560</v>
      </c>
      <c r="H34" s="172">
        <v>4830</v>
      </c>
      <c r="I34" s="128"/>
      <c r="J34" s="172"/>
      <c r="K34" s="128"/>
      <c r="L34" s="172"/>
      <c r="M34" s="128"/>
      <c r="N34" s="172"/>
      <c r="O34" s="128"/>
      <c r="P34" s="172"/>
      <c r="Q34" s="128"/>
      <c r="R34" s="172"/>
      <c r="S34" s="128"/>
      <c r="T34" s="172"/>
      <c r="U34" s="128"/>
      <c r="V34" s="172"/>
      <c r="W34" s="128"/>
      <c r="X34" s="172"/>
      <c r="Y34" s="128"/>
      <c r="Z34" s="172"/>
      <c r="AA34" s="128"/>
      <c r="AB34" s="172"/>
      <c r="AC34" s="128"/>
      <c r="AD34" s="172"/>
      <c r="AE34" s="128"/>
      <c r="AF34" s="172"/>
      <c r="AG34" s="128"/>
      <c r="AH34" s="172"/>
      <c r="AI34" s="128"/>
      <c r="AJ34" s="243"/>
      <c r="AK34" s="128"/>
      <c r="AL34" s="172"/>
      <c r="AM34" s="128"/>
      <c r="AN34" s="172"/>
    </row>
    <row r="35" spans="1:40" s="242" customFormat="1" ht="15" customHeight="1">
      <c r="A35" s="110" t="s">
        <v>950</v>
      </c>
      <c r="B35" s="111" t="s">
        <v>386</v>
      </c>
      <c r="C35" s="112">
        <v>101143</v>
      </c>
      <c r="D35" s="112">
        <v>10</v>
      </c>
      <c r="E35" s="128">
        <v>2520</v>
      </c>
      <c r="F35" s="172">
        <v>2700</v>
      </c>
      <c r="G35" s="128">
        <v>4560</v>
      </c>
      <c r="H35" s="172">
        <v>4830</v>
      </c>
      <c r="I35" s="128"/>
      <c r="J35" s="172"/>
      <c r="K35" s="128"/>
      <c r="L35" s="172"/>
      <c r="M35" s="128"/>
      <c r="N35" s="172"/>
      <c r="O35" s="128"/>
      <c r="P35" s="172"/>
      <c r="Q35" s="128"/>
      <c r="R35" s="172"/>
      <c r="S35" s="128"/>
      <c r="T35" s="172"/>
      <c r="U35" s="128"/>
      <c r="V35" s="172"/>
      <c r="W35" s="128"/>
      <c r="X35" s="172"/>
      <c r="Y35" s="128"/>
      <c r="Z35" s="172"/>
      <c r="AA35" s="128"/>
      <c r="AB35" s="172"/>
      <c r="AC35" s="128"/>
      <c r="AD35" s="172"/>
      <c r="AE35" s="128"/>
      <c r="AF35" s="172"/>
      <c r="AG35" s="128"/>
      <c r="AH35" s="172"/>
      <c r="AI35" s="128"/>
      <c r="AJ35" s="243"/>
      <c r="AK35" s="128"/>
      <c r="AL35" s="172"/>
      <c r="AM35" s="128"/>
      <c r="AN35" s="172"/>
    </row>
    <row r="36" spans="1:40" s="242" customFormat="1" ht="15" customHeight="1">
      <c r="A36" s="110" t="s">
        <v>950</v>
      </c>
      <c r="B36" s="111" t="s">
        <v>1106</v>
      </c>
      <c r="C36" s="112">
        <v>101301</v>
      </c>
      <c r="D36" s="112">
        <v>10</v>
      </c>
      <c r="E36" s="128">
        <v>2280</v>
      </c>
      <c r="F36" s="172">
        <v>2700</v>
      </c>
      <c r="G36" s="128">
        <v>4320</v>
      </c>
      <c r="H36" s="172">
        <v>4830</v>
      </c>
      <c r="I36" s="128"/>
      <c r="J36" s="172"/>
      <c r="K36" s="128"/>
      <c r="L36" s="172"/>
      <c r="M36" s="128"/>
      <c r="N36" s="172"/>
      <c r="O36" s="128"/>
      <c r="P36" s="172"/>
      <c r="Q36" s="128"/>
      <c r="R36" s="172"/>
      <c r="S36" s="128"/>
      <c r="T36" s="172"/>
      <c r="U36" s="128"/>
      <c r="V36" s="172"/>
      <c r="W36" s="128"/>
      <c r="X36" s="172"/>
      <c r="Y36" s="128"/>
      <c r="Z36" s="172"/>
      <c r="AA36" s="128"/>
      <c r="AB36" s="172"/>
      <c r="AC36" s="128"/>
      <c r="AD36" s="172"/>
      <c r="AE36" s="128"/>
      <c r="AF36" s="172"/>
      <c r="AG36" s="128"/>
      <c r="AH36" s="172"/>
      <c r="AI36" s="128"/>
      <c r="AJ36" s="243"/>
      <c r="AK36" s="128"/>
      <c r="AL36" s="172"/>
      <c r="AM36" s="128"/>
      <c r="AN36" s="172"/>
    </row>
    <row r="37" spans="1:40" s="242" customFormat="1" ht="15" customHeight="1">
      <c r="A37" s="110" t="s">
        <v>950</v>
      </c>
      <c r="B37" s="111" t="s">
        <v>1107</v>
      </c>
      <c r="C37" s="112">
        <v>101499</v>
      </c>
      <c r="D37" s="112">
        <v>10</v>
      </c>
      <c r="E37" s="128">
        <v>2520</v>
      </c>
      <c r="F37" s="172">
        <v>2700</v>
      </c>
      <c r="G37" s="128">
        <v>4560</v>
      </c>
      <c r="H37" s="172">
        <v>4830</v>
      </c>
      <c r="I37" s="128"/>
      <c r="J37" s="172"/>
      <c r="K37" s="128"/>
      <c r="L37" s="172"/>
      <c r="M37" s="128"/>
      <c r="N37" s="172"/>
      <c r="O37" s="128"/>
      <c r="P37" s="172"/>
      <c r="Q37" s="128"/>
      <c r="R37" s="172"/>
      <c r="S37" s="128"/>
      <c r="T37" s="172"/>
      <c r="U37" s="128"/>
      <c r="V37" s="172"/>
      <c r="W37" s="128"/>
      <c r="X37" s="172"/>
      <c r="Y37" s="128"/>
      <c r="Z37" s="172"/>
      <c r="AA37" s="128"/>
      <c r="AB37" s="172"/>
      <c r="AC37" s="128"/>
      <c r="AD37" s="172"/>
      <c r="AE37" s="128"/>
      <c r="AF37" s="172"/>
      <c r="AG37" s="128"/>
      <c r="AH37" s="172"/>
      <c r="AI37" s="128"/>
      <c r="AJ37" s="243"/>
      <c r="AK37" s="128"/>
      <c r="AL37" s="172"/>
      <c r="AM37" s="128"/>
      <c r="AN37" s="172"/>
    </row>
    <row r="38" spans="1:40" s="242" customFormat="1" ht="15" customHeight="1">
      <c r="A38" s="110" t="s">
        <v>950</v>
      </c>
      <c r="B38" s="111" t="s">
        <v>1108</v>
      </c>
      <c r="C38" s="112">
        <v>101569</v>
      </c>
      <c r="D38" s="112">
        <v>10</v>
      </c>
      <c r="E38" s="128">
        <v>2520</v>
      </c>
      <c r="F38" s="172">
        <v>2700</v>
      </c>
      <c r="G38" s="128">
        <v>4560</v>
      </c>
      <c r="H38" s="172">
        <v>4830</v>
      </c>
      <c r="I38" s="128"/>
      <c r="J38" s="172"/>
      <c r="K38" s="128"/>
      <c r="L38" s="172"/>
      <c r="M38" s="128"/>
      <c r="N38" s="172"/>
      <c r="O38" s="128"/>
      <c r="P38" s="172"/>
      <c r="Q38" s="128"/>
      <c r="R38" s="172"/>
      <c r="S38" s="128"/>
      <c r="T38" s="172"/>
      <c r="U38" s="128"/>
      <c r="V38" s="172"/>
      <c r="W38" s="128"/>
      <c r="X38" s="172"/>
      <c r="Y38" s="128"/>
      <c r="Z38" s="172"/>
      <c r="AA38" s="128"/>
      <c r="AB38" s="172"/>
      <c r="AC38" s="128"/>
      <c r="AD38" s="172"/>
      <c r="AE38" s="128"/>
      <c r="AF38" s="172"/>
      <c r="AG38" s="128"/>
      <c r="AH38" s="172"/>
      <c r="AI38" s="128"/>
      <c r="AJ38" s="243"/>
      <c r="AK38" s="128"/>
      <c r="AL38" s="172"/>
      <c r="AM38" s="128"/>
      <c r="AN38" s="172"/>
    </row>
    <row r="39" spans="1:40" s="242" customFormat="1" ht="15" customHeight="1">
      <c r="A39" s="110" t="s">
        <v>950</v>
      </c>
      <c r="B39" s="111" t="s">
        <v>387</v>
      </c>
      <c r="C39" s="112">
        <v>101602</v>
      </c>
      <c r="D39" s="112">
        <v>10</v>
      </c>
      <c r="E39" s="128">
        <v>2520</v>
      </c>
      <c r="F39" s="172">
        <v>2700</v>
      </c>
      <c r="G39" s="128">
        <v>4560</v>
      </c>
      <c r="H39" s="172">
        <v>4830</v>
      </c>
      <c r="I39" s="128"/>
      <c r="J39" s="172"/>
      <c r="K39" s="128"/>
      <c r="L39" s="172"/>
      <c r="M39" s="128"/>
      <c r="N39" s="172"/>
      <c r="O39" s="128"/>
      <c r="P39" s="172"/>
      <c r="Q39" s="128"/>
      <c r="R39" s="172"/>
      <c r="S39" s="128"/>
      <c r="T39" s="172"/>
      <c r="U39" s="128"/>
      <c r="V39" s="172"/>
      <c r="W39" s="128"/>
      <c r="X39" s="172"/>
      <c r="Y39" s="128"/>
      <c r="Z39" s="172"/>
      <c r="AA39" s="128"/>
      <c r="AB39" s="172"/>
      <c r="AC39" s="128"/>
      <c r="AD39" s="172"/>
      <c r="AE39" s="128"/>
      <c r="AF39" s="172"/>
      <c r="AG39" s="128"/>
      <c r="AH39" s="172"/>
      <c r="AI39" s="128"/>
      <c r="AJ39" s="243"/>
      <c r="AK39" s="128"/>
      <c r="AL39" s="172"/>
      <c r="AM39" s="128"/>
      <c r="AN39" s="172"/>
    </row>
    <row r="40" spans="1:40" s="242" customFormat="1" ht="15" customHeight="1">
      <c r="A40" s="110" t="s">
        <v>950</v>
      </c>
      <c r="B40" s="111" t="s">
        <v>500</v>
      </c>
      <c r="C40" s="112">
        <v>101897</v>
      </c>
      <c r="D40" s="112">
        <v>10</v>
      </c>
      <c r="E40" s="128">
        <v>2280</v>
      </c>
      <c r="F40" s="172">
        <v>2700</v>
      </c>
      <c r="G40" s="128">
        <v>4200</v>
      </c>
      <c r="H40" s="172">
        <v>4830</v>
      </c>
      <c r="I40" s="128"/>
      <c r="J40" s="172"/>
      <c r="K40" s="128"/>
      <c r="L40" s="172"/>
      <c r="M40" s="128"/>
      <c r="N40" s="172"/>
      <c r="O40" s="128"/>
      <c r="P40" s="172"/>
      <c r="Q40" s="128"/>
      <c r="R40" s="172"/>
      <c r="S40" s="128"/>
      <c r="T40" s="172"/>
      <c r="U40" s="128"/>
      <c r="V40" s="172"/>
      <c r="W40" s="128"/>
      <c r="X40" s="172"/>
      <c r="Y40" s="128"/>
      <c r="Z40" s="172"/>
      <c r="AA40" s="128"/>
      <c r="AB40" s="172"/>
      <c r="AC40" s="128"/>
      <c r="AD40" s="172"/>
      <c r="AE40" s="128"/>
      <c r="AF40" s="172"/>
      <c r="AG40" s="128"/>
      <c r="AH40" s="172"/>
      <c r="AI40" s="128"/>
      <c r="AJ40" s="243"/>
      <c r="AK40" s="128"/>
      <c r="AL40" s="172"/>
      <c r="AM40" s="128"/>
      <c r="AN40" s="172"/>
    </row>
    <row r="41" spans="1:40" s="242" customFormat="1" ht="15" customHeight="1">
      <c r="A41" s="110" t="s">
        <v>950</v>
      </c>
      <c r="B41" s="111" t="s">
        <v>501</v>
      </c>
      <c r="C41" s="112">
        <v>102076</v>
      </c>
      <c r="D41" s="112">
        <v>10</v>
      </c>
      <c r="E41" s="128">
        <v>2520</v>
      </c>
      <c r="F41" s="172">
        <v>2700</v>
      </c>
      <c r="G41" s="128">
        <v>4560</v>
      </c>
      <c r="H41" s="172">
        <v>4830</v>
      </c>
      <c r="I41" s="128"/>
      <c r="J41" s="172"/>
      <c r="K41" s="128"/>
      <c r="L41" s="172"/>
      <c r="M41" s="128"/>
      <c r="N41" s="172"/>
      <c r="O41" s="128"/>
      <c r="P41" s="172"/>
      <c r="Q41" s="128"/>
      <c r="R41" s="172"/>
      <c r="S41" s="128"/>
      <c r="T41" s="172"/>
      <c r="U41" s="128"/>
      <c r="V41" s="172"/>
      <c r="W41" s="128"/>
      <c r="X41" s="172"/>
      <c r="Y41" s="128"/>
      <c r="Z41" s="172"/>
      <c r="AA41" s="128"/>
      <c r="AB41" s="172"/>
      <c r="AC41" s="128"/>
      <c r="AD41" s="172"/>
      <c r="AE41" s="128"/>
      <c r="AF41" s="172"/>
      <c r="AG41" s="128"/>
      <c r="AH41" s="172"/>
      <c r="AI41" s="128"/>
      <c r="AJ41" s="243"/>
      <c r="AK41" s="128"/>
      <c r="AL41" s="172"/>
      <c r="AM41" s="128"/>
      <c r="AN41" s="172"/>
    </row>
    <row r="42" spans="1:40" s="242" customFormat="1" ht="15" customHeight="1">
      <c r="A42" s="110" t="s">
        <v>950</v>
      </c>
      <c r="B42" s="111" t="s">
        <v>502</v>
      </c>
      <c r="C42" s="112">
        <v>100919</v>
      </c>
      <c r="D42" s="153">
        <v>12</v>
      </c>
      <c r="E42" s="128">
        <v>2520</v>
      </c>
      <c r="F42" s="172">
        <v>2700</v>
      </c>
      <c r="G42" s="128">
        <v>4560</v>
      </c>
      <c r="H42" s="172">
        <v>4830</v>
      </c>
      <c r="I42" s="128"/>
      <c r="J42" s="172"/>
      <c r="K42" s="128"/>
      <c r="L42" s="172"/>
      <c r="M42" s="128"/>
      <c r="N42" s="172"/>
      <c r="O42" s="128"/>
      <c r="P42" s="172"/>
      <c r="Q42" s="128"/>
      <c r="R42" s="172"/>
      <c r="S42" s="128"/>
      <c r="T42" s="172"/>
      <c r="U42" s="128"/>
      <c r="V42" s="172"/>
      <c r="W42" s="128"/>
      <c r="X42" s="172"/>
      <c r="Y42" s="128"/>
      <c r="Z42" s="172"/>
      <c r="AA42" s="128"/>
      <c r="AB42" s="172"/>
      <c r="AC42" s="128"/>
      <c r="AD42" s="172"/>
      <c r="AE42" s="128"/>
      <c r="AF42" s="172"/>
      <c r="AG42" s="128"/>
      <c r="AH42" s="172"/>
      <c r="AI42" s="128"/>
      <c r="AJ42" s="243"/>
      <c r="AK42" s="128"/>
      <c r="AL42" s="172"/>
      <c r="AM42" s="128"/>
      <c r="AN42" s="172"/>
    </row>
    <row r="43" spans="1:40" s="242" customFormat="1" ht="15" customHeight="1">
      <c r="A43" s="110" t="s">
        <v>950</v>
      </c>
      <c r="B43" s="111" t="s">
        <v>389</v>
      </c>
      <c r="C43" s="112">
        <v>102313</v>
      </c>
      <c r="D43" s="153">
        <v>12</v>
      </c>
      <c r="E43" s="128">
        <v>2520</v>
      </c>
      <c r="F43" s="172">
        <v>2700</v>
      </c>
      <c r="G43" s="128">
        <v>4560</v>
      </c>
      <c r="H43" s="172">
        <v>4830</v>
      </c>
      <c r="I43" s="128"/>
      <c r="J43" s="172"/>
      <c r="K43" s="128"/>
      <c r="L43" s="172"/>
      <c r="M43" s="128"/>
      <c r="N43" s="172"/>
      <c r="O43" s="128"/>
      <c r="P43" s="172"/>
      <c r="Q43" s="128"/>
      <c r="R43" s="172"/>
      <c r="S43" s="128"/>
      <c r="T43" s="172"/>
      <c r="U43" s="128"/>
      <c r="V43" s="172"/>
      <c r="W43" s="128"/>
      <c r="X43" s="172"/>
      <c r="Y43" s="128"/>
      <c r="Z43" s="172"/>
      <c r="AA43" s="128"/>
      <c r="AB43" s="172"/>
      <c r="AC43" s="128"/>
      <c r="AD43" s="172"/>
      <c r="AE43" s="128"/>
      <c r="AF43" s="172"/>
      <c r="AG43" s="128"/>
      <c r="AH43" s="172"/>
      <c r="AI43" s="128"/>
      <c r="AJ43" s="243"/>
      <c r="AK43" s="128"/>
      <c r="AL43" s="172"/>
      <c r="AM43" s="128"/>
      <c r="AN43" s="172"/>
    </row>
    <row r="44" spans="1:40" s="242" customFormat="1" ht="15" customHeight="1">
      <c r="A44" s="110" t="s">
        <v>950</v>
      </c>
      <c r="B44" s="111" t="s">
        <v>503</v>
      </c>
      <c r="C44" s="112">
        <v>101462</v>
      </c>
      <c r="D44" s="153">
        <v>13</v>
      </c>
      <c r="E44" s="128">
        <v>2520</v>
      </c>
      <c r="F44" s="172">
        <v>2700</v>
      </c>
      <c r="G44" s="128">
        <v>4560</v>
      </c>
      <c r="H44" s="172">
        <v>4830</v>
      </c>
      <c r="I44" s="128"/>
      <c r="J44" s="172"/>
      <c r="K44" s="128"/>
      <c r="L44" s="172"/>
      <c r="M44" s="128"/>
      <c r="N44" s="172"/>
      <c r="O44" s="128"/>
      <c r="P44" s="172"/>
      <c r="Q44" s="128"/>
      <c r="R44" s="172"/>
      <c r="S44" s="128"/>
      <c r="T44" s="172"/>
      <c r="U44" s="128"/>
      <c r="V44" s="172"/>
      <c r="W44" s="128"/>
      <c r="X44" s="172"/>
      <c r="Y44" s="128"/>
      <c r="Z44" s="172"/>
      <c r="AA44" s="128"/>
      <c r="AB44" s="172"/>
      <c r="AC44" s="128"/>
      <c r="AD44" s="172"/>
      <c r="AE44" s="128"/>
      <c r="AF44" s="172"/>
      <c r="AG44" s="128"/>
      <c r="AH44" s="172"/>
      <c r="AI44" s="128"/>
      <c r="AJ44" s="243"/>
      <c r="AK44" s="128"/>
      <c r="AL44" s="172"/>
      <c r="AM44" s="128"/>
      <c r="AN44" s="172"/>
    </row>
    <row r="45" spans="1:40" s="242" customFormat="1" ht="15" customHeight="1">
      <c r="A45" s="110" t="s">
        <v>950</v>
      </c>
      <c r="B45" s="111" t="s">
        <v>504</v>
      </c>
      <c r="C45" s="112">
        <v>101471</v>
      </c>
      <c r="D45" s="153">
        <v>13</v>
      </c>
      <c r="E45" s="128">
        <v>1800</v>
      </c>
      <c r="F45" s="172">
        <v>2130</v>
      </c>
      <c r="G45" s="128" t="s">
        <v>388</v>
      </c>
      <c r="H45" s="172" t="s">
        <v>568</v>
      </c>
      <c r="I45" s="128"/>
      <c r="J45" s="172"/>
      <c r="K45" s="128"/>
      <c r="L45" s="172"/>
      <c r="M45" s="128"/>
      <c r="N45" s="172"/>
      <c r="O45" s="128"/>
      <c r="P45" s="172"/>
      <c r="Q45" s="128"/>
      <c r="R45" s="172"/>
      <c r="S45" s="128"/>
      <c r="T45" s="172"/>
      <c r="U45" s="128"/>
      <c r="V45" s="172"/>
      <c r="W45" s="128"/>
      <c r="X45" s="172"/>
      <c r="Y45" s="128"/>
      <c r="Z45" s="172"/>
      <c r="AA45" s="128"/>
      <c r="AB45" s="172"/>
      <c r="AC45" s="128"/>
      <c r="AD45" s="172"/>
      <c r="AE45" s="128"/>
      <c r="AF45" s="172"/>
      <c r="AG45" s="128"/>
      <c r="AH45" s="172"/>
      <c r="AI45" s="128"/>
      <c r="AJ45" s="243"/>
      <c r="AK45" s="128"/>
      <c r="AL45" s="172"/>
      <c r="AM45" s="128"/>
      <c r="AN45" s="172"/>
    </row>
    <row r="46" spans="1:40" s="242" customFormat="1" ht="15" customHeight="1">
      <c r="A46" s="110" t="s">
        <v>950</v>
      </c>
      <c r="B46" s="111" t="s">
        <v>505</v>
      </c>
      <c r="C46" s="112">
        <v>101994</v>
      </c>
      <c r="D46" s="153">
        <v>13</v>
      </c>
      <c r="E46" s="128">
        <v>2520</v>
      </c>
      <c r="F46" s="172">
        <v>2700</v>
      </c>
      <c r="G46" s="128">
        <v>4560</v>
      </c>
      <c r="H46" s="172">
        <v>4830</v>
      </c>
      <c r="I46" s="128"/>
      <c r="J46" s="172"/>
      <c r="K46" s="128"/>
      <c r="L46" s="172"/>
      <c r="M46" s="128"/>
      <c r="N46" s="172"/>
      <c r="O46" s="128"/>
      <c r="P46" s="172"/>
      <c r="Q46" s="128"/>
      <c r="R46" s="172"/>
      <c r="S46" s="128"/>
      <c r="T46" s="172"/>
      <c r="U46" s="128"/>
      <c r="V46" s="172"/>
      <c r="W46" s="128"/>
      <c r="X46" s="172"/>
      <c r="Y46" s="128"/>
      <c r="Z46" s="172"/>
      <c r="AA46" s="128"/>
      <c r="AB46" s="172"/>
      <c r="AC46" s="128"/>
      <c r="AD46" s="172"/>
      <c r="AE46" s="128"/>
      <c r="AF46" s="172"/>
      <c r="AG46" s="128"/>
      <c r="AH46" s="172"/>
      <c r="AI46" s="128"/>
      <c r="AJ46" s="243"/>
      <c r="AK46" s="128"/>
      <c r="AL46" s="172"/>
      <c r="AM46" s="128"/>
      <c r="AN46" s="172"/>
    </row>
    <row r="47" spans="1:40" s="242" customFormat="1" ht="15" customHeight="1">
      <c r="A47" s="114" t="s">
        <v>956</v>
      </c>
      <c r="B47" s="115" t="s">
        <v>390</v>
      </c>
      <c r="C47" s="116">
        <v>106397</v>
      </c>
      <c r="D47" s="244">
        <v>1</v>
      </c>
      <c r="E47" s="128">
        <v>4768</v>
      </c>
      <c r="F47" s="146">
        <v>5135</v>
      </c>
      <c r="G47" s="128">
        <v>11518</v>
      </c>
      <c r="H47" s="146">
        <v>12425</v>
      </c>
      <c r="I47" s="128">
        <v>6145</v>
      </c>
      <c r="J47" s="146">
        <v>6617</v>
      </c>
      <c r="K47" s="128">
        <v>13489</v>
      </c>
      <c r="L47" s="146">
        <v>14549</v>
      </c>
      <c r="M47" s="128">
        <v>6408</v>
      </c>
      <c r="N47" s="146">
        <v>6955</v>
      </c>
      <c r="O47" s="128">
        <v>12816</v>
      </c>
      <c r="P47" s="146">
        <v>13963</v>
      </c>
      <c r="Q47" s="128"/>
      <c r="R47" s="146"/>
      <c r="S47" s="128"/>
      <c r="T47" s="146"/>
      <c r="U47" s="128"/>
      <c r="V47" s="146"/>
      <c r="W47" s="128"/>
      <c r="X47" s="146"/>
      <c r="Y47" s="128"/>
      <c r="Z47" s="146"/>
      <c r="AA47" s="128"/>
      <c r="AB47" s="146"/>
      <c r="AC47" s="128"/>
      <c r="AD47" s="146"/>
      <c r="AE47" s="128"/>
      <c r="AF47" s="146"/>
      <c r="AG47" s="128"/>
      <c r="AH47" s="146"/>
      <c r="AI47" s="128"/>
      <c r="AJ47" s="146"/>
      <c r="AK47" s="128"/>
      <c r="AL47" s="146"/>
      <c r="AM47" s="128"/>
      <c r="AN47" s="146"/>
    </row>
    <row r="48" spans="1:40" s="242" customFormat="1" ht="15" customHeight="1">
      <c r="A48" s="114" t="s">
        <v>956</v>
      </c>
      <c r="B48" s="115" t="s">
        <v>506</v>
      </c>
      <c r="C48" s="116">
        <v>106458</v>
      </c>
      <c r="D48" s="244">
        <v>3</v>
      </c>
      <c r="E48" s="128">
        <v>4810</v>
      </c>
      <c r="F48" s="146">
        <v>5155</v>
      </c>
      <c r="G48" s="128">
        <v>10720</v>
      </c>
      <c r="H48" s="146">
        <v>11515</v>
      </c>
      <c r="I48" s="128">
        <v>4654</v>
      </c>
      <c r="J48" s="146">
        <v>4990</v>
      </c>
      <c r="K48" s="128">
        <v>10462</v>
      </c>
      <c r="L48" s="146">
        <v>11230</v>
      </c>
      <c r="M48" s="128"/>
      <c r="N48" s="146"/>
      <c r="O48" s="128"/>
      <c r="P48" s="146"/>
      <c r="Q48" s="128"/>
      <c r="R48" s="146"/>
      <c r="S48" s="128"/>
      <c r="T48" s="146"/>
      <c r="U48" s="128"/>
      <c r="V48" s="146"/>
      <c r="W48" s="128"/>
      <c r="X48" s="146"/>
      <c r="Y48" s="128"/>
      <c r="Z48" s="146"/>
      <c r="AA48" s="128"/>
      <c r="AB48" s="146"/>
      <c r="AC48" s="128"/>
      <c r="AD48" s="146"/>
      <c r="AE48" s="128"/>
      <c r="AF48" s="146"/>
      <c r="AG48" s="128"/>
      <c r="AH48" s="146"/>
      <c r="AI48" s="128"/>
      <c r="AJ48" s="146"/>
      <c r="AK48" s="128"/>
      <c r="AL48" s="146"/>
      <c r="AM48" s="128"/>
      <c r="AN48" s="146"/>
    </row>
    <row r="49" spans="1:40" s="242" customFormat="1" ht="15" customHeight="1">
      <c r="A49" s="114" t="s">
        <v>956</v>
      </c>
      <c r="B49" s="115" t="s">
        <v>507</v>
      </c>
      <c r="C49" s="116">
        <v>106245</v>
      </c>
      <c r="D49" s="244">
        <v>3</v>
      </c>
      <c r="E49" s="128">
        <v>4598</v>
      </c>
      <c r="F49" s="146">
        <v>4957</v>
      </c>
      <c r="G49" s="128">
        <v>10538</v>
      </c>
      <c r="H49" s="146">
        <v>11437</v>
      </c>
      <c r="I49" s="128">
        <v>4902</v>
      </c>
      <c r="J49" s="146">
        <v>5261</v>
      </c>
      <c r="K49" s="128">
        <v>9750</v>
      </c>
      <c r="L49" s="146">
        <v>10589</v>
      </c>
      <c r="M49" s="128">
        <v>6578</v>
      </c>
      <c r="N49" s="146">
        <v>7232</v>
      </c>
      <c r="O49" s="128">
        <v>12986</v>
      </c>
      <c r="P49" s="146">
        <v>14288</v>
      </c>
      <c r="Q49" s="128"/>
      <c r="R49" s="146"/>
      <c r="S49" s="128"/>
      <c r="T49" s="146"/>
      <c r="U49" s="128"/>
      <c r="V49" s="146"/>
      <c r="W49" s="128"/>
      <c r="X49" s="146"/>
      <c r="Y49" s="128"/>
      <c r="Z49" s="146"/>
      <c r="AA49" s="128"/>
      <c r="AB49" s="146"/>
      <c r="AC49" s="128"/>
      <c r="AD49" s="146"/>
      <c r="AE49" s="128"/>
      <c r="AF49" s="146"/>
      <c r="AG49" s="128"/>
      <c r="AH49" s="146"/>
      <c r="AI49" s="128"/>
      <c r="AJ49" s="146"/>
      <c r="AK49" s="128"/>
      <c r="AL49" s="146"/>
      <c r="AM49" s="128"/>
      <c r="AN49" s="146"/>
    </row>
    <row r="50" spans="1:40" s="242" customFormat="1" ht="15" customHeight="1">
      <c r="A50" s="114" t="s">
        <v>956</v>
      </c>
      <c r="B50" s="115" t="s">
        <v>508</v>
      </c>
      <c r="C50" s="116">
        <v>106704</v>
      </c>
      <c r="D50" s="244">
        <v>3</v>
      </c>
      <c r="E50" s="128">
        <v>4505</v>
      </c>
      <c r="F50" s="146">
        <v>5053</v>
      </c>
      <c r="G50" s="128">
        <v>7817</v>
      </c>
      <c r="H50" s="146">
        <v>8609</v>
      </c>
      <c r="I50" s="128">
        <v>4983</v>
      </c>
      <c r="J50" s="146">
        <v>5287</v>
      </c>
      <c r="K50" s="128">
        <v>9351</v>
      </c>
      <c r="L50" s="146">
        <v>9727</v>
      </c>
      <c r="M50" s="128"/>
      <c r="N50" s="146"/>
      <c r="O50" s="128"/>
      <c r="P50" s="146"/>
      <c r="Q50" s="128"/>
      <c r="R50" s="146"/>
      <c r="S50" s="128"/>
      <c r="T50" s="146"/>
      <c r="U50" s="128"/>
      <c r="V50" s="146"/>
      <c r="W50" s="128"/>
      <c r="X50" s="146"/>
      <c r="Y50" s="128"/>
      <c r="Z50" s="146"/>
      <c r="AA50" s="128"/>
      <c r="AB50" s="146"/>
      <c r="AC50" s="128"/>
      <c r="AD50" s="146"/>
      <c r="AE50" s="128"/>
      <c r="AF50" s="146"/>
      <c r="AG50" s="128"/>
      <c r="AH50" s="146"/>
      <c r="AI50" s="128"/>
      <c r="AJ50" s="146"/>
      <c r="AK50" s="128"/>
      <c r="AL50" s="146"/>
      <c r="AM50" s="128"/>
      <c r="AN50" s="146"/>
    </row>
    <row r="51" spans="1:40" s="242" customFormat="1" ht="15" customHeight="1">
      <c r="A51" s="114" t="s">
        <v>956</v>
      </c>
      <c r="B51" s="115" t="s">
        <v>509</v>
      </c>
      <c r="C51" s="116">
        <v>106467</v>
      </c>
      <c r="D51" s="244">
        <v>5</v>
      </c>
      <c r="E51" s="128">
        <v>3820</v>
      </c>
      <c r="F51" s="146">
        <v>4468</v>
      </c>
      <c r="G51" s="128">
        <v>7360</v>
      </c>
      <c r="H51" s="146">
        <v>8626</v>
      </c>
      <c r="I51" s="128">
        <v>3766</v>
      </c>
      <c r="J51" s="146">
        <v>4188</v>
      </c>
      <c r="K51" s="128">
        <v>7270</v>
      </c>
      <c r="L51" s="146">
        <v>8100</v>
      </c>
      <c r="M51" s="128"/>
      <c r="N51" s="146"/>
      <c r="O51" s="128"/>
      <c r="P51" s="146"/>
      <c r="Q51" s="128"/>
      <c r="R51" s="146"/>
      <c r="S51" s="128"/>
      <c r="T51" s="146"/>
      <c r="U51" s="128"/>
      <c r="V51" s="146"/>
      <c r="W51" s="128"/>
      <c r="X51" s="146"/>
      <c r="Y51" s="128"/>
      <c r="Z51" s="146"/>
      <c r="AA51" s="128"/>
      <c r="AB51" s="146"/>
      <c r="AC51" s="128"/>
      <c r="AD51" s="146"/>
      <c r="AE51" s="128"/>
      <c r="AF51" s="146"/>
      <c r="AG51" s="128"/>
      <c r="AH51" s="146"/>
      <c r="AI51" s="128"/>
      <c r="AJ51" s="146"/>
      <c r="AK51" s="128"/>
      <c r="AL51" s="146"/>
      <c r="AM51" s="128"/>
      <c r="AN51" s="146"/>
    </row>
    <row r="52" spans="1:40" s="242" customFormat="1" ht="15" customHeight="1">
      <c r="A52" s="114" t="s">
        <v>956</v>
      </c>
      <c r="B52" s="115" t="s">
        <v>510</v>
      </c>
      <c r="C52" s="116">
        <v>107071</v>
      </c>
      <c r="D52" s="244">
        <v>5</v>
      </c>
      <c r="E52" s="128">
        <v>3851</v>
      </c>
      <c r="F52" s="146">
        <v>4168</v>
      </c>
      <c r="G52" s="128">
        <v>7231</v>
      </c>
      <c r="H52" s="146">
        <v>7808</v>
      </c>
      <c r="I52" s="128">
        <v>4308</v>
      </c>
      <c r="J52" s="146">
        <v>4357</v>
      </c>
      <c r="K52" s="128">
        <v>8196</v>
      </c>
      <c r="L52" s="146">
        <v>8245</v>
      </c>
      <c r="M52" s="128"/>
      <c r="N52" s="146"/>
      <c r="O52" s="128"/>
      <c r="P52" s="146"/>
      <c r="Q52" s="128"/>
      <c r="R52" s="146"/>
      <c r="S52" s="128"/>
      <c r="T52" s="146"/>
      <c r="U52" s="128"/>
      <c r="V52" s="146"/>
      <c r="W52" s="128"/>
      <c r="X52" s="146"/>
      <c r="Y52" s="128"/>
      <c r="Z52" s="146"/>
      <c r="AA52" s="128"/>
      <c r="AB52" s="146"/>
      <c r="AC52" s="128"/>
      <c r="AD52" s="146"/>
      <c r="AE52" s="128"/>
      <c r="AF52" s="146"/>
      <c r="AG52" s="128"/>
      <c r="AH52" s="146"/>
      <c r="AI52" s="128"/>
      <c r="AJ52" s="146"/>
      <c r="AK52" s="128"/>
      <c r="AL52" s="146"/>
      <c r="AM52" s="128"/>
      <c r="AN52" s="146"/>
    </row>
    <row r="53" spans="1:40" s="242" customFormat="1" ht="15" customHeight="1">
      <c r="A53" s="114" t="s">
        <v>956</v>
      </c>
      <c r="B53" s="115" t="s">
        <v>511</v>
      </c>
      <c r="C53" s="116">
        <v>107983</v>
      </c>
      <c r="D53" s="244">
        <v>5</v>
      </c>
      <c r="E53" s="128">
        <v>3550</v>
      </c>
      <c r="F53" s="146">
        <v>3858</v>
      </c>
      <c r="G53" s="128">
        <v>5240</v>
      </c>
      <c r="H53" s="146">
        <v>5678</v>
      </c>
      <c r="I53" s="128">
        <v>3956</v>
      </c>
      <c r="J53" s="146">
        <v>4004</v>
      </c>
      <c r="K53" s="128">
        <v>5516</v>
      </c>
      <c r="L53" s="146">
        <v>5564</v>
      </c>
      <c r="M53" s="128"/>
      <c r="N53" s="146"/>
      <c r="O53" s="128"/>
      <c r="P53" s="146"/>
      <c r="Q53" s="128"/>
      <c r="R53" s="146"/>
      <c r="S53" s="128"/>
      <c r="T53" s="146"/>
      <c r="U53" s="128"/>
      <c r="V53" s="146"/>
      <c r="W53" s="128"/>
      <c r="X53" s="146"/>
      <c r="Y53" s="128"/>
      <c r="Z53" s="146"/>
      <c r="AA53" s="128"/>
      <c r="AB53" s="146"/>
      <c r="AC53" s="128"/>
      <c r="AD53" s="146"/>
      <c r="AE53" s="128"/>
      <c r="AF53" s="146"/>
      <c r="AG53" s="128"/>
      <c r="AH53" s="146"/>
      <c r="AI53" s="128"/>
      <c r="AJ53" s="146"/>
      <c r="AK53" s="128"/>
      <c r="AL53" s="146"/>
      <c r="AM53" s="128"/>
      <c r="AN53" s="146"/>
    </row>
    <row r="54" spans="1:40" s="242" customFormat="1" ht="15" customHeight="1">
      <c r="A54" s="114" t="s">
        <v>956</v>
      </c>
      <c r="B54" s="115" t="s">
        <v>512</v>
      </c>
      <c r="C54" s="116">
        <v>106485</v>
      </c>
      <c r="D54" s="244">
        <v>6</v>
      </c>
      <c r="E54" s="128">
        <v>3385</v>
      </c>
      <c r="F54" s="146">
        <v>3625</v>
      </c>
      <c r="G54" s="128">
        <v>6805</v>
      </c>
      <c r="H54" s="146">
        <v>7195</v>
      </c>
      <c r="I54" s="128">
        <v>3468</v>
      </c>
      <c r="J54" s="146">
        <v>3684</v>
      </c>
      <c r="K54" s="128">
        <v>7356</v>
      </c>
      <c r="L54" s="146">
        <v>7764</v>
      </c>
      <c r="M54" s="128"/>
      <c r="N54" s="146"/>
      <c r="O54" s="128"/>
      <c r="P54" s="146"/>
      <c r="Q54" s="128"/>
      <c r="R54" s="146"/>
      <c r="S54" s="128"/>
      <c r="T54" s="146"/>
      <c r="U54" s="128"/>
      <c r="V54" s="146"/>
      <c r="W54" s="128"/>
      <c r="X54" s="146"/>
      <c r="Y54" s="128"/>
      <c r="Z54" s="146"/>
      <c r="AA54" s="128"/>
      <c r="AB54" s="146"/>
      <c r="AC54" s="128"/>
      <c r="AD54" s="146"/>
      <c r="AE54" s="128"/>
      <c r="AF54" s="146"/>
      <c r="AG54" s="128"/>
      <c r="AH54" s="146"/>
      <c r="AI54" s="128"/>
      <c r="AJ54" s="146"/>
      <c r="AK54" s="128"/>
      <c r="AL54" s="146"/>
      <c r="AM54" s="128"/>
      <c r="AN54" s="146"/>
    </row>
    <row r="55" spans="1:40" s="242" customFormat="1" ht="15" customHeight="1">
      <c r="A55" s="114" t="s">
        <v>956</v>
      </c>
      <c r="B55" s="115" t="s">
        <v>513</v>
      </c>
      <c r="C55" s="116">
        <v>106412</v>
      </c>
      <c r="D55" s="244">
        <v>6</v>
      </c>
      <c r="E55" s="128">
        <v>3687</v>
      </c>
      <c r="F55" s="146">
        <v>4043</v>
      </c>
      <c r="G55" s="128">
        <v>7437</v>
      </c>
      <c r="H55" s="146">
        <v>8018</v>
      </c>
      <c r="I55" s="128">
        <v>3607</v>
      </c>
      <c r="J55" s="146">
        <v>3928</v>
      </c>
      <c r="K55" s="128">
        <v>7447</v>
      </c>
      <c r="L55" s="146">
        <v>7996</v>
      </c>
      <c r="M55" s="128"/>
      <c r="N55" s="146"/>
      <c r="O55" s="128"/>
      <c r="P55" s="146"/>
      <c r="Q55" s="128"/>
      <c r="R55" s="146"/>
      <c r="S55" s="128"/>
      <c r="T55" s="146"/>
      <c r="U55" s="128"/>
      <c r="V55" s="146"/>
      <c r="W55" s="128"/>
      <c r="X55" s="146"/>
      <c r="Y55" s="128"/>
      <c r="Z55" s="146"/>
      <c r="AA55" s="128"/>
      <c r="AB55" s="146"/>
      <c r="AC55" s="128"/>
      <c r="AD55" s="146"/>
      <c r="AE55" s="128"/>
      <c r="AF55" s="146"/>
      <c r="AG55" s="128"/>
      <c r="AH55" s="146"/>
      <c r="AI55" s="128"/>
      <c r="AJ55" s="146"/>
      <c r="AK55" s="128"/>
      <c r="AL55" s="146"/>
      <c r="AM55" s="128"/>
      <c r="AN55" s="146"/>
    </row>
    <row r="56" spans="1:40" s="242" customFormat="1" ht="15" customHeight="1">
      <c r="A56" s="114" t="s">
        <v>956</v>
      </c>
      <c r="B56" s="117" t="s">
        <v>517</v>
      </c>
      <c r="C56" s="116">
        <v>108092</v>
      </c>
      <c r="D56" s="244">
        <v>7</v>
      </c>
      <c r="E56" s="128">
        <v>2220</v>
      </c>
      <c r="F56" s="146">
        <v>2430</v>
      </c>
      <c r="G56" s="128">
        <v>6840</v>
      </c>
      <c r="H56" s="146">
        <v>7380</v>
      </c>
      <c r="I56" s="128"/>
      <c r="J56" s="146"/>
      <c r="K56" s="128"/>
      <c r="L56" s="146"/>
      <c r="M56" s="128"/>
      <c r="N56" s="146"/>
      <c r="O56" s="128"/>
      <c r="P56" s="146"/>
      <c r="Q56" s="128"/>
      <c r="R56" s="146"/>
      <c r="S56" s="128"/>
      <c r="T56" s="146"/>
      <c r="U56" s="128"/>
      <c r="V56" s="146"/>
      <c r="W56" s="128"/>
      <c r="X56" s="146"/>
      <c r="Y56" s="128"/>
      <c r="Z56" s="146"/>
      <c r="AA56" s="128"/>
      <c r="AB56" s="146"/>
      <c r="AC56" s="128"/>
      <c r="AD56" s="146"/>
      <c r="AE56" s="128"/>
      <c r="AF56" s="146"/>
      <c r="AG56" s="128"/>
      <c r="AH56" s="146"/>
      <c r="AI56" s="128"/>
      <c r="AJ56" s="146"/>
      <c r="AK56" s="128"/>
      <c r="AL56" s="146"/>
      <c r="AM56" s="128"/>
      <c r="AN56" s="146"/>
    </row>
    <row r="57" spans="1:40" s="242" customFormat="1" ht="15" customHeight="1">
      <c r="A57" s="114" t="s">
        <v>956</v>
      </c>
      <c r="B57" s="115" t="s">
        <v>514</v>
      </c>
      <c r="C57" s="116">
        <v>106449</v>
      </c>
      <c r="D57" s="244">
        <v>9</v>
      </c>
      <c r="E57" s="128">
        <v>2040</v>
      </c>
      <c r="F57" s="146">
        <v>2160</v>
      </c>
      <c r="G57" s="128">
        <v>3300</v>
      </c>
      <c r="H57" s="146">
        <v>3540</v>
      </c>
      <c r="I57" s="128"/>
      <c r="J57" s="146"/>
      <c r="K57" s="128"/>
      <c r="L57" s="146"/>
      <c r="M57" s="128"/>
      <c r="N57" s="146"/>
      <c r="O57" s="128"/>
      <c r="P57" s="146"/>
      <c r="Q57" s="128"/>
      <c r="R57" s="146"/>
      <c r="S57" s="128"/>
      <c r="T57" s="146"/>
      <c r="U57" s="128"/>
      <c r="V57" s="146"/>
      <c r="W57" s="128"/>
      <c r="X57" s="146"/>
      <c r="Y57" s="128"/>
      <c r="Z57" s="146"/>
      <c r="AA57" s="128"/>
      <c r="AB57" s="146"/>
      <c r="AC57" s="128"/>
      <c r="AD57" s="146"/>
      <c r="AE57" s="128"/>
      <c r="AF57" s="146"/>
      <c r="AG57" s="128"/>
      <c r="AH57" s="146"/>
      <c r="AI57" s="128"/>
      <c r="AJ57" s="146"/>
      <c r="AK57" s="128"/>
      <c r="AL57" s="146"/>
      <c r="AM57" s="128"/>
      <c r="AN57" s="146"/>
    </row>
    <row r="58" spans="1:40" s="242" customFormat="1" ht="15" customHeight="1">
      <c r="A58" s="114" t="s">
        <v>956</v>
      </c>
      <c r="B58" s="115" t="s">
        <v>515</v>
      </c>
      <c r="C58" s="116">
        <v>367459</v>
      </c>
      <c r="D58" s="244">
        <v>9</v>
      </c>
      <c r="E58" s="128">
        <v>1635</v>
      </c>
      <c r="F58" s="146">
        <v>1785</v>
      </c>
      <c r="G58" s="128">
        <v>3765</v>
      </c>
      <c r="H58" s="146">
        <v>3945</v>
      </c>
      <c r="I58" s="128"/>
      <c r="J58" s="146"/>
      <c r="K58" s="128"/>
      <c r="L58" s="146"/>
      <c r="M58" s="128"/>
      <c r="N58" s="146"/>
      <c r="O58" s="128"/>
      <c r="P58" s="146"/>
      <c r="Q58" s="128"/>
      <c r="R58" s="146"/>
      <c r="S58" s="128"/>
      <c r="T58" s="146"/>
      <c r="U58" s="128"/>
      <c r="V58" s="146"/>
      <c r="W58" s="128"/>
      <c r="X58" s="146"/>
      <c r="Y58" s="128"/>
      <c r="Z58" s="146"/>
      <c r="AA58" s="128"/>
      <c r="AB58" s="146"/>
      <c r="AC58" s="128"/>
      <c r="AD58" s="146"/>
      <c r="AE58" s="128"/>
      <c r="AF58" s="146"/>
      <c r="AG58" s="128"/>
      <c r="AH58" s="146"/>
      <c r="AI58" s="128"/>
      <c r="AJ58" s="146"/>
      <c r="AK58" s="128"/>
      <c r="AL58" s="146"/>
      <c r="AM58" s="128"/>
      <c r="AN58" s="146"/>
    </row>
    <row r="59" spans="1:40" s="242" customFormat="1" ht="15" customHeight="1">
      <c r="A59" s="114" t="s">
        <v>956</v>
      </c>
      <c r="B59" s="115" t="s">
        <v>516</v>
      </c>
      <c r="C59" s="116">
        <v>107664</v>
      </c>
      <c r="D59" s="244">
        <v>9</v>
      </c>
      <c r="E59" s="128">
        <v>2110</v>
      </c>
      <c r="F59" s="146">
        <v>2170</v>
      </c>
      <c r="G59" s="128">
        <v>2620</v>
      </c>
      <c r="H59" s="146">
        <v>3430</v>
      </c>
      <c r="I59" s="128"/>
      <c r="J59" s="146"/>
      <c r="K59" s="128"/>
      <c r="L59" s="146"/>
      <c r="M59" s="128"/>
      <c r="N59" s="146"/>
      <c r="O59" s="128"/>
      <c r="P59" s="146"/>
      <c r="Q59" s="128"/>
      <c r="R59" s="146"/>
      <c r="S59" s="128"/>
      <c r="T59" s="146"/>
      <c r="U59" s="128"/>
      <c r="V59" s="146"/>
      <c r="W59" s="128"/>
      <c r="X59" s="146"/>
      <c r="Y59" s="128"/>
      <c r="Z59" s="146"/>
      <c r="AA59" s="128"/>
      <c r="AB59" s="146"/>
      <c r="AC59" s="128"/>
      <c r="AD59" s="146"/>
      <c r="AE59" s="128"/>
      <c r="AF59" s="146"/>
      <c r="AG59" s="128"/>
      <c r="AH59" s="146"/>
      <c r="AI59" s="128"/>
      <c r="AJ59" s="146"/>
      <c r="AK59" s="128"/>
      <c r="AL59" s="146"/>
      <c r="AM59" s="128"/>
      <c r="AN59" s="146"/>
    </row>
    <row r="60" spans="1:40" s="242" customFormat="1" ht="15" customHeight="1">
      <c r="A60" s="114" t="s">
        <v>956</v>
      </c>
      <c r="B60" s="115" t="s">
        <v>391</v>
      </c>
      <c r="C60" s="116">
        <v>107327</v>
      </c>
      <c r="D60" s="244">
        <v>10</v>
      </c>
      <c r="E60" s="128">
        <v>1490</v>
      </c>
      <c r="F60" s="146">
        <v>1570</v>
      </c>
      <c r="G60" s="128">
        <v>3290</v>
      </c>
      <c r="H60" s="146">
        <v>3370</v>
      </c>
      <c r="I60" s="128"/>
      <c r="J60" s="146"/>
      <c r="K60" s="128"/>
      <c r="L60" s="146"/>
      <c r="M60" s="128"/>
      <c r="N60" s="146"/>
      <c r="O60" s="128"/>
      <c r="P60" s="146"/>
      <c r="Q60" s="128"/>
      <c r="R60" s="146"/>
      <c r="S60" s="128"/>
      <c r="T60" s="146"/>
      <c r="U60" s="128"/>
      <c r="V60" s="146"/>
      <c r="W60" s="128"/>
      <c r="X60" s="146"/>
      <c r="Y60" s="128"/>
      <c r="Z60" s="146"/>
      <c r="AA60" s="128"/>
      <c r="AB60" s="146"/>
      <c r="AC60" s="128"/>
      <c r="AD60" s="146"/>
      <c r="AE60" s="128"/>
      <c r="AF60" s="146"/>
      <c r="AG60" s="128"/>
      <c r="AH60" s="146"/>
      <c r="AI60" s="128"/>
      <c r="AJ60" s="146"/>
      <c r="AK60" s="128"/>
      <c r="AL60" s="146"/>
      <c r="AM60" s="128"/>
      <c r="AN60" s="146"/>
    </row>
    <row r="61" spans="1:40" s="242" customFormat="1" ht="15" customHeight="1">
      <c r="A61" s="114" t="s">
        <v>956</v>
      </c>
      <c r="B61" s="115" t="s">
        <v>518</v>
      </c>
      <c r="C61" s="116">
        <v>420538</v>
      </c>
      <c r="D61" s="244">
        <v>10</v>
      </c>
      <c r="E61" s="128">
        <v>2040</v>
      </c>
      <c r="F61" s="146">
        <v>2160</v>
      </c>
      <c r="G61" s="128">
        <v>3300</v>
      </c>
      <c r="H61" s="146">
        <v>3540</v>
      </c>
      <c r="I61" s="128"/>
      <c r="J61" s="146"/>
      <c r="K61" s="128"/>
      <c r="L61" s="146"/>
      <c r="M61" s="128"/>
      <c r="N61" s="146"/>
      <c r="O61" s="128"/>
      <c r="P61" s="146"/>
      <c r="Q61" s="128"/>
      <c r="R61" s="146"/>
      <c r="S61" s="128"/>
      <c r="T61" s="146"/>
      <c r="U61" s="128"/>
      <c r="V61" s="146"/>
      <c r="W61" s="128"/>
      <c r="X61" s="146"/>
      <c r="Y61" s="128"/>
      <c r="Z61" s="146"/>
      <c r="AA61" s="128"/>
      <c r="AB61" s="146"/>
      <c r="AC61" s="128"/>
      <c r="AD61" s="146"/>
      <c r="AE61" s="128"/>
      <c r="AF61" s="146"/>
      <c r="AG61" s="128"/>
      <c r="AH61" s="146"/>
      <c r="AI61" s="128"/>
      <c r="AJ61" s="146"/>
      <c r="AK61" s="128"/>
      <c r="AL61" s="146"/>
      <c r="AM61" s="128"/>
      <c r="AN61" s="146"/>
    </row>
    <row r="62" spans="1:40" s="242" customFormat="1" ht="15" customHeight="1">
      <c r="A62" s="114" t="s">
        <v>956</v>
      </c>
      <c r="B62" s="115" t="s">
        <v>519</v>
      </c>
      <c r="C62" s="169">
        <v>440402</v>
      </c>
      <c r="D62" s="244">
        <v>10</v>
      </c>
      <c r="E62" s="128">
        <v>1950</v>
      </c>
      <c r="F62" s="146">
        <v>2070</v>
      </c>
      <c r="G62" s="128">
        <v>3210</v>
      </c>
      <c r="H62" s="146">
        <v>3450</v>
      </c>
      <c r="I62" s="128"/>
      <c r="J62" s="146"/>
      <c r="K62" s="128"/>
      <c r="L62" s="146"/>
      <c r="M62" s="128"/>
      <c r="N62" s="146"/>
      <c r="O62" s="128"/>
      <c r="P62" s="146"/>
      <c r="Q62" s="128"/>
      <c r="R62" s="146"/>
      <c r="S62" s="128"/>
      <c r="T62" s="146"/>
      <c r="U62" s="128"/>
      <c r="V62" s="146"/>
      <c r="W62" s="128"/>
      <c r="X62" s="146"/>
      <c r="Y62" s="128"/>
      <c r="Z62" s="146"/>
      <c r="AA62" s="128"/>
      <c r="AB62" s="146"/>
      <c r="AC62" s="128"/>
      <c r="AD62" s="146"/>
      <c r="AE62" s="128"/>
      <c r="AF62" s="146"/>
      <c r="AG62" s="128"/>
      <c r="AH62" s="146"/>
      <c r="AI62" s="128"/>
      <c r="AJ62" s="146"/>
      <c r="AK62" s="128"/>
      <c r="AL62" s="146"/>
      <c r="AM62" s="128"/>
      <c r="AN62" s="146"/>
    </row>
    <row r="63" spans="1:40" s="242" customFormat="1" ht="15" customHeight="1">
      <c r="A63" s="114" t="s">
        <v>956</v>
      </c>
      <c r="B63" s="115" t="s">
        <v>520</v>
      </c>
      <c r="C63" s="116">
        <v>106625</v>
      </c>
      <c r="D63" s="244">
        <v>10</v>
      </c>
      <c r="E63" s="128">
        <v>1650</v>
      </c>
      <c r="F63" s="146">
        <v>1650</v>
      </c>
      <c r="G63" s="128">
        <v>5430</v>
      </c>
      <c r="H63" s="146">
        <v>5430</v>
      </c>
      <c r="I63" s="128"/>
      <c r="J63" s="146"/>
      <c r="K63" s="128"/>
      <c r="L63" s="146"/>
      <c r="M63" s="128"/>
      <c r="N63" s="146"/>
      <c r="O63" s="128"/>
      <c r="P63" s="146"/>
      <c r="Q63" s="128"/>
      <c r="R63" s="146"/>
      <c r="S63" s="128"/>
      <c r="T63" s="146"/>
      <c r="U63" s="128"/>
      <c r="V63" s="146"/>
      <c r="W63" s="128"/>
      <c r="X63" s="146"/>
      <c r="Y63" s="128"/>
      <c r="Z63" s="146"/>
      <c r="AA63" s="128"/>
      <c r="AB63" s="146"/>
      <c r="AC63" s="128"/>
      <c r="AD63" s="146"/>
      <c r="AE63" s="128"/>
      <c r="AF63" s="146"/>
      <c r="AG63" s="128"/>
      <c r="AH63" s="146"/>
      <c r="AI63" s="128"/>
      <c r="AJ63" s="146"/>
      <c r="AK63" s="128"/>
      <c r="AL63" s="146"/>
      <c r="AM63" s="128"/>
      <c r="AN63" s="146"/>
    </row>
    <row r="64" spans="1:40" s="242" customFormat="1" ht="15" customHeight="1">
      <c r="A64" s="114" t="s">
        <v>956</v>
      </c>
      <c r="B64" s="117" t="s">
        <v>521</v>
      </c>
      <c r="C64" s="116">
        <v>106795</v>
      </c>
      <c r="D64" s="244">
        <v>10</v>
      </c>
      <c r="E64" s="128">
        <v>1336</v>
      </c>
      <c r="F64" s="146">
        <v>1396</v>
      </c>
      <c r="G64" s="128">
        <v>4426</v>
      </c>
      <c r="H64" s="146">
        <v>4636</v>
      </c>
      <c r="I64" s="128"/>
      <c r="J64" s="146"/>
      <c r="K64" s="128"/>
      <c r="L64" s="146"/>
      <c r="M64" s="128"/>
      <c r="N64" s="146"/>
      <c r="O64" s="128"/>
      <c r="P64" s="146"/>
      <c r="Q64" s="128"/>
      <c r="R64" s="146"/>
      <c r="S64" s="128"/>
      <c r="T64" s="146"/>
      <c r="U64" s="128"/>
      <c r="V64" s="146"/>
      <c r="W64" s="128"/>
      <c r="X64" s="146"/>
      <c r="Y64" s="128"/>
      <c r="Z64" s="146"/>
      <c r="AA64" s="128"/>
      <c r="AB64" s="146"/>
      <c r="AC64" s="128"/>
      <c r="AD64" s="146"/>
      <c r="AE64" s="128"/>
      <c r="AF64" s="146"/>
      <c r="AG64" s="128"/>
      <c r="AH64" s="146"/>
      <c r="AI64" s="128"/>
      <c r="AJ64" s="146"/>
      <c r="AK64" s="128"/>
      <c r="AL64" s="146"/>
      <c r="AM64" s="128"/>
      <c r="AN64" s="146"/>
    </row>
    <row r="65" spans="1:40" s="242" customFormat="1" ht="15" customHeight="1">
      <c r="A65" s="114" t="s">
        <v>956</v>
      </c>
      <c r="B65" s="115" t="s">
        <v>522</v>
      </c>
      <c r="C65" s="116">
        <v>106883</v>
      </c>
      <c r="D65" s="244">
        <v>10</v>
      </c>
      <c r="E65" s="128">
        <v>1380</v>
      </c>
      <c r="F65" s="146">
        <v>1530</v>
      </c>
      <c r="G65" s="128">
        <v>1950</v>
      </c>
      <c r="H65" s="146">
        <v>2130</v>
      </c>
      <c r="I65" s="128"/>
      <c r="J65" s="146"/>
      <c r="K65" s="128"/>
      <c r="L65" s="146"/>
      <c r="M65" s="128"/>
      <c r="N65" s="146"/>
      <c r="O65" s="128"/>
      <c r="P65" s="146"/>
      <c r="Q65" s="128"/>
      <c r="R65" s="146"/>
      <c r="S65" s="128"/>
      <c r="T65" s="146"/>
      <c r="U65" s="128"/>
      <c r="V65" s="146"/>
      <c r="W65" s="128"/>
      <c r="X65" s="146"/>
      <c r="Y65" s="128"/>
      <c r="Z65" s="146"/>
      <c r="AA65" s="128"/>
      <c r="AB65" s="146"/>
      <c r="AC65" s="128"/>
      <c r="AD65" s="146"/>
      <c r="AE65" s="128"/>
      <c r="AF65" s="146"/>
      <c r="AG65" s="128"/>
      <c r="AH65" s="146"/>
      <c r="AI65" s="128"/>
      <c r="AJ65" s="146"/>
      <c r="AK65" s="128"/>
      <c r="AL65" s="146"/>
      <c r="AM65" s="128"/>
      <c r="AN65" s="146"/>
    </row>
    <row r="66" spans="1:40" s="242" customFormat="1" ht="15" customHeight="1">
      <c r="A66" s="114" t="s">
        <v>956</v>
      </c>
      <c r="B66" s="115" t="s">
        <v>523</v>
      </c>
      <c r="C66" s="116">
        <v>107318</v>
      </c>
      <c r="D66" s="244">
        <v>10</v>
      </c>
      <c r="E66" s="128">
        <v>1290</v>
      </c>
      <c r="F66" s="146">
        <v>1500</v>
      </c>
      <c r="G66" s="128">
        <v>1890</v>
      </c>
      <c r="H66" s="146">
        <v>3150</v>
      </c>
      <c r="I66" s="128"/>
      <c r="J66" s="146"/>
      <c r="K66" s="128"/>
      <c r="L66" s="146"/>
      <c r="M66" s="128"/>
      <c r="N66" s="146"/>
      <c r="O66" s="128"/>
      <c r="P66" s="146"/>
      <c r="Q66" s="128"/>
      <c r="R66" s="146"/>
      <c r="S66" s="128"/>
      <c r="T66" s="146"/>
      <c r="U66" s="128"/>
      <c r="V66" s="146"/>
      <c r="W66" s="128"/>
      <c r="X66" s="146"/>
      <c r="Y66" s="128"/>
      <c r="Z66" s="146"/>
      <c r="AA66" s="128"/>
      <c r="AB66" s="146"/>
      <c r="AC66" s="128"/>
      <c r="AD66" s="146"/>
      <c r="AE66" s="128"/>
      <c r="AF66" s="146"/>
      <c r="AG66" s="128"/>
      <c r="AH66" s="146"/>
      <c r="AI66" s="128"/>
      <c r="AJ66" s="146"/>
      <c r="AK66" s="128"/>
      <c r="AL66" s="146"/>
      <c r="AM66" s="128"/>
      <c r="AN66" s="146"/>
    </row>
    <row r="67" spans="1:40" s="242" customFormat="1" ht="15" customHeight="1">
      <c r="A67" s="114" t="s">
        <v>956</v>
      </c>
      <c r="B67" s="115" t="s">
        <v>392</v>
      </c>
      <c r="C67" s="116">
        <v>106980</v>
      </c>
      <c r="D67" s="244">
        <v>10</v>
      </c>
      <c r="E67" s="128">
        <v>1158</v>
      </c>
      <c r="F67" s="146">
        <v>1230</v>
      </c>
      <c r="G67" s="128">
        <v>2790</v>
      </c>
      <c r="H67" s="146">
        <v>3006</v>
      </c>
      <c r="I67" s="128"/>
      <c r="J67" s="146"/>
      <c r="K67" s="128"/>
      <c r="L67" s="146"/>
      <c r="M67" s="128"/>
      <c r="N67" s="146"/>
      <c r="O67" s="128"/>
      <c r="P67" s="146"/>
      <c r="Q67" s="128"/>
      <c r="R67" s="146"/>
      <c r="S67" s="128"/>
      <c r="T67" s="146"/>
      <c r="U67" s="128"/>
      <c r="V67" s="146"/>
      <c r="W67" s="128"/>
      <c r="X67" s="146"/>
      <c r="Y67" s="128"/>
      <c r="Z67" s="146"/>
      <c r="AA67" s="128"/>
      <c r="AB67" s="146"/>
      <c r="AC67" s="128"/>
      <c r="AD67" s="146"/>
      <c r="AE67" s="128"/>
      <c r="AF67" s="146"/>
      <c r="AG67" s="128"/>
      <c r="AH67" s="146"/>
      <c r="AI67" s="128"/>
      <c r="AJ67" s="146"/>
      <c r="AK67" s="128"/>
      <c r="AL67" s="146"/>
      <c r="AM67" s="128"/>
      <c r="AN67" s="146"/>
    </row>
    <row r="68" spans="1:40" s="242" customFormat="1" ht="15" customHeight="1">
      <c r="A68" s="114" t="s">
        <v>956</v>
      </c>
      <c r="B68" s="115" t="s">
        <v>524</v>
      </c>
      <c r="C68" s="116">
        <v>107460</v>
      </c>
      <c r="D68" s="244">
        <v>10</v>
      </c>
      <c r="E68" s="128">
        <v>1470</v>
      </c>
      <c r="F68" s="146">
        <v>1470</v>
      </c>
      <c r="G68" s="128">
        <v>3540</v>
      </c>
      <c r="H68" s="146">
        <v>3540</v>
      </c>
      <c r="I68" s="128"/>
      <c r="J68" s="146"/>
      <c r="K68" s="128"/>
      <c r="L68" s="146"/>
      <c r="M68" s="128"/>
      <c r="N68" s="146"/>
      <c r="O68" s="128"/>
      <c r="P68" s="146"/>
      <c r="Q68" s="128"/>
      <c r="R68" s="146"/>
      <c r="S68" s="128"/>
      <c r="T68" s="146"/>
      <c r="U68" s="128"/>
      <c r="V68" s="146"/>
      <c r="W68" s="128"/>
      <c r="X68" s="146"/>
      <c r="Y68" s="128"/>
      <c r="Z68" s="146"/>
      <c r="AA68" s="128"/>
      <c r="AB68" s="146"/>
      <c r="AC68" s="128"/>
      <c r="AD68" s="146"/>
      <c r="AE68" s="128"/>
      <c r="AF68" s="146"/>
      <c r="AG68" s="128"/>
      <c r="AH68" s="146"/>
      <c r="AI68" s="128"/>
      <c r="AJ68" s="146"/>
      <c r="AK68" s="128"/>
      <c r="AL68" s="146"/>
      <c r="AM68" s="128"/>
      <c r="AN68" s="146"/>
    </row>
    <row r="69" spans="1:40" s="242" customFormat="1" ht="15" customHeight="1">
      <c r="A69" s="114" t="s">
        <v>956</v>
      </c>
      <c r="B69" s="115" t="s">
        <v>525</v>
      </c>
      <c r="C69" s="116">
        <v>107521</v>
      </c>
      <c r="D69" s="244">
        <v>10</v>
      </c>
      <c r="E69" s="128">
        <v>1770</v>
      </c>
      <c r="F69" s="146">
        <v>1860</v>
      </c>
      <c r="G69" s="128">
        <v>4590</v>
      </c>
      <c r="H69" s="146">
        <v>4800</v>
      </c>
      <c r="I69" s="128"/>
      <c r="J69" s="146"/>
      <c r="K69" s="128"/>
      <c r="L69" s="146"/>
      <c r="M69" s="128"/>
      <c r="N69" s="146"/>
      <c r="O69" s="128"/>
      <c r="P69" s="146"/>
      <c r="Q69" s="128"/>
      <c r="R69" s="146"/>
      <c r="S69" s="128"/>
      <c r="T69" s="146"/>
      <c r="U69" s="128"/>
      <c r="V69" s="146"/>
      <c r="W69" s="128"/>
      <c r="X69" s="146"/>
      <c r="Y69" s="128"/>
      <c r="Z69" s="146"/>
      <c r="AA69" s="128"/>
      <c r="AB69" s="146"/>
      <c r="AC69" s="128"/>
      <c r="AD69" s="146"/>
      <c r="AE69" s="128"/>
      <c r="AF69" s="146"/>
      <c r="AG69" s="128"/>
      <c r="AH69" s="146"/>
      <c r="AI69" s="128"/>
      <c r="AJ69" s="146"/>
      <c r="AK69" s="128"/>
      <c r="AL69" s="146"/>
      <c r="AM69" s="128"/>
      <c r="AN69" s="146"/>
    </row>
    <row r="70" spans="1:40" s="242" customFormat="1" ht="15" customHeight="1">
      <c r="A70" s="114" t="s">
        <v>956</v>
      </c>
      <c r="B70" s="115" t="s">
        <v>526</v>
      </c>
      <c r="C70" s="116">
        <v>107549</v>
      </c>
      <c r="D70" s="244">
        <v>10</v>
      </c>
      <c r="E70" s="128">
        <v>1980</v>
      </c>
      <c r="F70" s="146">
        <v>1980</v>
      </c>
      <c r="G70" s="128">
        <v>5220</v>
      </c>
      <c r="H70" s="146">
        <v>5220</v>
      </c>
      <c r="I70" s="128"/>
      <c r="J70" s="146"/>
      <c r="K70" s="128"/>
      <c r="L70" s="146"/>
      <c r="M70" s="128"/>
      <c r="N70" s="146"/>
      <c r="O70" s="128"/>
      <c r="P70" s="146"/>
      <c r="Q70" s="128"/>
      <c r="R70" s="146"/>
      <c r="S70" s="128"/>
      <c r="T70" s="146"/>
      <c r="U70" s="128"/>
      <c r="V70" s="146"/>
      <c r="W70" s="128"/>
      <c r="X70" s="146"/>
      <c r="Y70" s="128"/>
      <c r="Z70" s="146"/>
      <c r="AA70" s="128"/>
      <c r="AB70" s="146"/>
      <c r="AC70" s="128"/>
      <c r="AD70" s="146"/>
      <c r="AE70" s="128"/>
      <c r="AF70" s="146"/>
      <c r="AG70" s="128"/>
      <c r="AH70" s="146"/>
      <c r="AI70" s="128"/>
      <c r="AJ70" s="146"/>
      <c r="AK70" s="128"/>
      <c r="AL70" s="146"/>
      <c r="AM70" s="128"/>
      <c r="AN70" s="146"/>
    </row>
    <row r="71" spans="1:40" s="242" customFormat="1" ht="15" customHeight="1">
      <c r="A71" s="114" t="s">
        <v>956</v>
      </c>
      <c r="B71" s="115" t="s">
        <v>531</v>
      </c>
      <c r="C71" s="116">
        <v>107619</v>
      </c>
      <c r="D71" s="244">
        <v>10</v>
      </c>
      <c r="E71" s="128">
        <v>1580</v>
      </c>
      <c r="F71" s="146">
        <v>1760</v>
      </c>
      <c r="G71" s="128">
        <v>2990</v>
      </c>
      <c r="H71" s="146">
        <v>3170</v>
      </c>
      <c r="I71" s="128"/>
      <c r="J71" s="146"/>
      <c r="K71" s="128"/>
      <c r="L71" s="146"/>
      <c r="M71" s="128"/>
      <c r="N71" s="146"/>
      <c r="O71" s="128"/>
      <c r="P71" s="146"/>
      <c r="Q71" s="128"/>
      <c r="R71" s="146"/>
      <c r="S71" s="128"/>
      <c r="T71" s="146"/>
      <c r="U71" s="128"/>
      <c r="V71" s="146"/>
      <c r="W71" s="128"/>
      <c r="X71" s="146"/>
      <c r="Y71" s="128"/>
      <c r="Z71" s="146"/>
      <c r="AA71" s="128"/>
      <c r="AB71" s="146"/>
      <c r="AC71" s="128"/>
      <c r="AD71" s="146"/>
      <c r="AE71" s="128"/>
      <c r="AF71" s="146"/>
      <c r="AG71" s="128"/>
      <c r="AH71" s="146"/>
      <c r="AI71" s="128"/>
      <c r="AJ71" s="146"/>
      <c r="AK71" s="128"/>
      <c r="AL71" s="146"/>
      <c r="AM71" s="128"/>
      <c r="AN71" s="146"/>
    </row>
    <row r="72" spans="1:40" s="242" customFormat="1" ht="15" customHeight="1">
      <c r="A72" s="114" t="s">
        <v>956</v>
      </c>
      <c r="B72" s="115" t="s">
        <v>532</v>
      </c>
      <c r="C72" s="116">
        <v>107743</v>
      </c>
      <c r="D72" s="244">
        <v>10</v>
      </c>
      <c r="E72" s="128">
        <v>1200</v>
      </c>
      <c r="F72" s="146">
        <v>1290</v>
      </c>
      <c r="G72" s="128">
        <v>4230</v>
      </c>
      <c r="H72" s="146">
        <v>4590</v>
      </c>
      <c r="I72" s="128"/>
      <c r="J72" s="146"/>
      <c r="K72" s="128"/>
      <c r="L72" s="146"/>
      <c r="M72" s="128"/>
      <c r="N72" s="146"/>
      <c r="O72" s="128"/>
      <c r="P72" s="146"/>
      <c r="Q72" s="128"/>
      <c r="R72" s="146"/>
      <c r="S72" s="128"/>
      <c r="T72" s="146"/>
      <c r="U72" s="128"/>
      <c r="V72" s="146"/>
      <c r="W72" s="128"/>
      <c r="X72" s="146"/>
      <c r="Y72" s="128"/>
      <c r="Z72" s="146"/>
      <c r="AA72" s="128"/>
      <c r="AB72" s="146"/>
      <c r="AC72" s="128"/>
      <c r="AD72" s="146"/>
      <c r="AE72" s="128"/>
      <c r="AF72" s="146"/>
      <c r="AG72" s="128"/>
      <c r="AH72" s="146"/>
      <c r="AI72" s="128"/>
      <c r="AJ72" s="146"/>
      <c r="AK72" s="128"/>
      <c r="AL72" s="146"/>
      <c r="AM72" s="128"/>
      <c r="AN72" s="146"/>
    </row>
    <row r="73" spans="1:40" s="242" customFormat="1" ht="15" customHeight="1">
      <c r="A73" s="114" t="s">
        <v>956</v>
      </c>
      <c r="B73" s="115" t="s">
        <v>533</v>
      </c>
      <c r="C73" s="116">
        <v>107974</v>
      </c>
      <c r="D73" s="244">
        <v>10</v>
      </c>
      <c r="E73" s="128">
        <v>1810</v>
      </c>
      <c r="F73" s="146">
        <v>1900</v>
      </c>
      <c r="G73" s="128">
        <v>3790</v>
      </c>
      <c r="H73" s="146">
        <v>3490</v>
      </c>
      <c r="I73" s="128"/>
      <c r="J73" s="146"/>
      <c r="K73" s="128"/>
      <c r="L73" s="146"/>
      <c r="M73" s="128"/>
      <c r="N73" s="146"/>
      <c r="O73" s="128"/>
      <c r="P73" s="146"/>
      <c r="Q73" s="128"/>
      <c r="R73" s="146"/>
      <c r="S73" s="128"/>
      <c r="T73" s="146"/>
      <c r="U73" s="128"/>
      <c r="V73" s="146"/>
      <c r="W73" s="128"/>
      <c r="X73" s="146"/>
      <c r="Y73" s="128"/>
      <c r="Z73" s="146"/>
      <c r="AA73" s="128"/>
      <c r="AB73" s="146"/>
      <c r="AC73" s="128"/>
      <c r="AD73" s="146"/>
      <c r="AE73" s="128"/>
      <c r="AF73" s="146"/>
      <c r="AG73" s="128"/>
      <c r="AH73" s="146"/>
      <c r="AI73" s="128"/>
      <c r="AJ73" s="146"/>
      <c r="AK73" s="128"/>
      <c r="AL73" s="146"/>
      <c r="AM73" s="128"/>
      <c r="AN73" s="146"/>
    </row>
    <row r="74" spans="1:40" s="242" customFormat="1" ht="15" customHeight="1">
      <c r="A74" s="114" t="s">
        <v>956</v>
      </c>
      <c r="B74" s="115" t="s">
        <v>534</v>
      </c>
      <c r="C74" s="116">
        <v>107637</v>
      </c>
      <c r="D74" s="244">
        <v>10</v>
      </c>
      <c r="E74" s="128">
        <v>1600</v>
      </c>
      <c r="F74" s="146">
        <v>1600</v>
      </c>
      <c r="G74" s="128">
        <v>3100</v>
      </c>
      <c r="H74" s="146">
        <v>3100</v>
      </c>
      <c r="I74" s="128"/>
      <c r="J74" s="146"/>
      <c r="K74" s="128"/>
      <c r="L74" s="146"/>
      <c r="M74" s="128"/>
      <c r="N74" s="146"/>
      <c r="O74" s="128"/>
      <c r="P74" s="146"/>
      <c r="Q74" s="128"/>
      <c r="R74" s="146"/>
      <c r="S74" s="128"/>
      <c r="T74" s="146"/>
      <c r="U74" s="128"/>
      <c r="V74" s="146"/>
      <c r="W74" s="128"/>
      <c r="X74" s="146"/>
      <c r="Y74" s="128"/>
      <c r="Z74" s="146"/>
      <c r="AA74" s="128"/>
      <c r="AB74" s="146"/>
      <c r="AC74" s="128"/>
      <c r="AD74" s="146"/>
      <c r="AE74" s="128"/>
      <c r="AF74" s="146"/>
      <c r="AG74" s="128"/>
      <c r="AH74" s="146"/>
      <c r="AI74" s="128"/>
      <c r="AJ74" s="146"/>
      <c r="AK74" s="128"/>
      <c r="AL74" s="146"/>
      <c r="AM74" s="128"/>
      <c r="AN74" s="146"/>
    </row>
    <row r="75" spans="1:40" s="242" customFormat="1" ht="15" customHeight="1">
      <c r="A75" s="114" t="s">
        <v>956</v>
      </c>
      <c r="B75" s="115" t="s">
        <v>535</v>
      </c>
      <c r="C75" s="116">
        <v>107992</v>
      </c>
      <c r="D75" s="244">
        <v>10</v>
      </c>
      <c r="E75" s="128">
        <v>1920</v>
      </c>
      <c r="F75" s="146">
        <v>1920</v>
      </c>
      <c r="G75" s="128">
        <v>2400</v>
      </c>
      <c r="H75" s="146">
        <v>2400</v>
      </c>
      <c r="I75" s="128"/>
      <c r="J75" s="146"/>
      <c r="K75" s="128"/>
      <c r="L75" s="146"/>
      <c r="M75" s="128"/>
      <c r="N75" s="146"/>
      <c r="O75" s="128"/>
      <c r="P75" s="146"/>
      <c r="Q75" s="128"/>
      <c r="R75" s="146"/>
      <c r="S75" s="128"/>
      <c r="T75" s="146"/>
      <c r="U75" s="128"/>
      <c r="V75" s="146"/>
      <c r="W75" s="128"/>
      <c r="X75" s="146"/>
      <c r="Y75" s="128"/>
      <c r="Z75" s="146"/>
      <c r="AA75" s="128"/>
      <c r="AB75" s="146"/>
      <c r="AC75" s="128"/>
      <c r="AD75" s="146"/>
      <c r="AE75" s="128"/>
      <c r="AF75" s="146"/>
      <c r="AG75" s="128"/>
      <c r="AH75" s="146"/>
      <c r="AI75" s="128"/>
      <c r="AJ75" s="146"/>
      <c r="AK75" s="128"/>
      <c r="AL75" s="146"/>
      <c r="AM75" s="128"/>
      <c r="AN75" s="146"/>
    </row>
    <row r="76" spans="1:40" s="242" customFormat="1" ht="15" customHeight="1">
      <c r="A76" s="114" t="s">
        <v>956</v>
      </c>
      <c r="B76" s="115" t="s">
        <v>536</v>
      </c>
      <c r="C76" s="116">
        <v>106999</v>
      </c>
      <c r="D76" s="244">
        <v>10</v>
      </c>
      <c r="E76" s="128">
        <v>1570</v>
      </c>
      <c r="F76" s="146">
        <v>1750</v>
      </c>
      <c r="G76" s="128">
        <v>3430</v>
      </c>
      <c r="H76" s="146">
        <v>3820</v>
      </c>
      <c r="I76" s="128"/>
      <c r="J76" s="146"/>
      <c r="K76" s="128"/>
      <c r="L76" s="146"/>
      <c r="M76" s="128"/>
      <c r="N76" s="146"/>
      <c r="O76" s="128"/>
      <c r="P76" s="146"/>
      <c r="Q76" s="128"/>
      <c r="R76" s="146"/>
      <c r="S76" s="128"/>
      <c r="T76" s="146"/>
      <c r="U76" s="128"/>
      <c r="V76" s="146"/>
      <c r="W76" s="128"/>
      <c r="X76" s="146"/>
      <c r="Y76" s="128"/>
      <c r="Z76" s="146"/>
      <c r="AA76" s="128"/>
      <c r="AB76" s="146"/>
      <c r="AC76" s="128"/>
      <c r="AD76" s="146"/>
      <c r="AE76" s="128"/>
      <c r="AF76" s="146"/>
      <c r="AG76" s="128"/>
      <c r="AH76" s="146"/>
      <c r="AI76" s="128"/>
      <c r="AJ76" s="146"/>
      <c r="AK76" s="128"/>
      <c r="AL76" s="146"/>
      <c r="AM76" s="128"/>
      <c r="AN76" s="146"/>
    </row>
    <row r="77" spans="1:40" s="242" customFormat="1" ht="15" customHeight="1">
      <c r="A77" s="114" t="s">
        <v>956</v>
      </c>
      <c r="B77" s="115" t="s">
        <v>537</v>
      </c>
      <c r="C77" s="116">
        <v>107725</v>
      </c>
      <c r="D77" s="244">
        <v>10</v>
      </c>
      <c r="E77" s="128">
        <v>1700</v>
      </c>
      <c r="F77" s="146">
        <v>1738</v>
      </c>
      <c r="G77" s="128">
        <v>3470</v>
      </c>
      <c r="H77" s="146">
        <v>3508</v>
      </c>
      <c r="I77" s="128"/>
      <c r="J77" s="146"/>
      <c r="K77" s="128"/>
      <c r="L77" s="146"/>
      <c r="M77" s="128"/>
      <c r="N77" s="146"/>
      <c r="O77" s="128"/>
      <c r="P77" s="146"/>
      <c r="Q77" s="128"/>
      <c r="R77" s="146"/>
      <c r="S77" s="128"/>
      <c r="T77" s="146"/>
      <c r="U77" s="128"/>
      <c r="V77" s="146"/>
      <c r="W77" s="128"/>
      <c r="X77" s="146"/>
      <c r="Y77" s="128"/>
      <c r="Z77" s="146"/>
      <c r="AA77" s="128"/>
      <c r="AB77" s="146"/>
      <c r="AC77" s="128"/>
      <c r="AD77" s="146"/>
      <c r="AE77" s="128"/>
      <c r="AF77" s="146"/>
      <c r="AG77" s="128"/>
      <c r="AH77" s="146"/>
      <c r="AI77" s="128"/>
      <c r="AJ77" s="146"/>
      <c r="AK77" s="128"/>
      <c r="AL77" s="146"/>
      <c r="AM77" s="128"/>
      <c r="AN77" s="146"/>
    </row>
    <row r="78" spans="1:40" s="242" customFormat="1" ht="15" customHeight="1">
      <c r="A78" s="114" t="s">
        <v>956</v>
      </c>
      <c r="B78" s="117" t="s">
        <v>538</v>
      </c>
      <c r="C78" s="116">
        <v>107585</v>
      </c>
      <c r="D78" s="244">
        <v>10</v>
      </c>
      <c r="E78" s="128">
        <v>1810</v>
      </c>
      <c r="F78" s="146">
        <v>2050</v>
      </c>
      <c r="G78" s="128">
        <v>2950</v>
      </c>
      <c r="H78" s="146">
        <v>3190</v>
      </c>
      <c r="I78" s="128"/>
      <c r="J78" s="146"/>
      <c r="K78" s="128"/>
      <c r="L78" s="146"/>
      <c r="M78" s="128"/>
      <c r="N78" s="146"/>
      <c r="O78" s="128"/>
      <c r="P78" s="146"/>
      <c r="Q78" s="128"/>
      <c r="R78" s="146"/>
      <c r="S78" s="128"/>
      <c r="T78" s="146"/>
      <c r="U78" s="128"/>
      <c r="V78" s="146"/>
      <c r="W78" s="128"/>
      <c r="X78" s="146"/>
      <c r="Y78" s="128"/>
      <c r="Z78" s="146"/>
      <c r="AA78" s="128"/>
      <c r="AB78" s="146"/>
      <c r="AC78" s="128"/>
      <c r="AD78" s="146"/>
      <c r="AE78" s="128"/>
      <c r="AF78" s="146"/>
      <c r="AG78" s="128"/>
      <c r="AH78" s="146"/>
      <c r="AI78" s="128"/>
      <c r="AJ78" s="146"/>
      <c r="AK78" s="128"/>
      <c r="AL78" s="146"/>
      <c r="AM78" s="128"/>
      <c r="AN78" s="146"/>
    </row>
    <row r="79" spans="1:40" s="242" customFormat="1" ht="15" customHeight="1">
      <c r="A79" s="118" t="s">
        <v>956</v>
      </c>
      <c r="B79" s="168" t="s">
        <v>139</v>
      </c>
      <c r="C79" s="119">
        <v>106263</v>
      </c>
      <c r="D79" s="271">
        <v>15</v>
      </c>
      <c r="E79" s="165">
        <v>3522</v>
      </c>
      <c r="F79" s="166">
        <v>3726</v>
      </c>
      <c r="G79" s="165">
        <v>8094</v>
      </c>
      <c r="H79" s="166">
        <v>8574</v>
      </c>
      <c r="I79" s="165">
        <v>4450</v>
      </c>
      <c r="J79" s="166">
        <v>4670</v>
      </c>
      <c r="K79" s="165">
        <v>9370</v>
      </c>
      <c r="L79" s="166">
        <v>9830</v>
      </c>
      <c r="M79" s="165"/>
      <c r="N79" s="166"/>
      <c r="O79" s="165"/>
      <c r="P79" s="166"/>
      <c r="Q79" s="165">
        <v>12167</v>
      </c>
      <c r="R79" s="166">
        <v>13331</v>
      </c>
      <c r="S79" s="165">
        <v>23809</v>
      </c>
      <c r="T79" s="166">
        <v>26137</v>
      </c>
      <c r="U79" s="165"/>
      <c r="V79" s="166"/>
      <c r="W79" s="165"/>
      <c r="X79" s="166"/>
      <c r="Y79" s="165">
        <v>6770</v>
      </c>
      <c r="Z79" s="166">
        <v>7430</v>
      </c>
      <c r="AA79" s="165">
        <v>13390</v>
      </c>
      <c r="AB79" s="166">
        <v>14710</v>
      </c>
      <c r="AC79" s="165"/>
      <c r="AD79" s="166"/>
      <c r="AE79" s="165"/>
      <c r="AF79" s="166"/>
      <c r="AG79" s="165"/>
      <c r="AH79" s="166"/>
      <c r="AI79" s="165"/>
      <c r="AJ79" s="166"/>
      <c r="AK79" s="165"/>
      <c r="AL79" s="166"/>
      <c r="AM79" s="165"/>
      <c r="AN79" s="166"/>
    </row>
    <row r="80" spans="1:40" s="242" customFormat="1" ht="15" customHeight="1">
      <c r="A80" s="120" t="s">
        <v>957</v>
      </c>
      <c r="B80" s="245" t="s">
        <v>140</v>
      </c>
      <c r="C80" s="246">
        <v>130943</v>
      </c>
      <c r="D80" s="154">
        <v>1</v>
      </c>
      <c r="E80" s="128">
        <v>6498</v>
      </c>
      <c r="F80" s="146">
        <v>6954</v>
      </c>
      <c r="G80" s="128">
        <v>16028</v>
      </c>
      <c r="H80" s="146">
        <v>16640</v>
      </c>
      <c r="I80" s="128">
        <v>6374</v>
      </c>
      <c r="J80" s="146">
        <v>6826</v>
      </c>
      <c r="K80" s="128">
        <v>15904</v>
      </c>
      <c r="L80" s="146">
        <v>16512</v>
      </c>
      <c r="M80" s="128"/>
      <c r="N80" s="146"/>
      <c r="O80" s="128"/>
      <c r="P80" s="146"/>
      <c r="Q80" s="128"/>
      <c r="R80" s="146"/>
      <c r="S80" s="128"/>
      <c r="T80" s="146"/>
      <c r="U80" s="128"/>
      <c r="V80" s="146"/>
      <c r="W80" s="128"/>
      <c r="X80" s="146"/>
      <c r="Y80" s="128"/>
      <c r="Z80" s="146"/>
      <c r="AA80" s="128"/>
      <c r="AB80" s="146"/>
      <c r="AC80" s="128"/>
      <c r="AD80" s="146"/>
      <c r="AE80" s="128"/>
      <c r="AF80" s="146"/>
      <c r="AG80" s="128"/>
      <c r="AH80" s="146"/>
      <c r="AI80" s="128"/>
      <c r="AJ80" s="146"/>
      <c r="AK80" s="128"/>
      <c r="AL80" s="146"/>
      <c r="AM80" s="128"/>
      <c r="AN80" s="146"/>
    </row>
    <row r="81" spans="1:40" s="242" customFormat="1" ht="15" customHeight="1">
      <c r="A81" s="120" t="s">
        <v>957</v>
      </c>
      <c r="B81" s="245" t="s">
        <v>141</v>
      </c>
      <c r="C81" s="246">
        <v>130934</v>
      </c>
      <c r="D81" s="154">
        <v>4</v>
      </c>
      <c r="E81" s="128">
        <v>4296</v>
      </c>
      <c r="F81" s="146">
        <v>4976</v>
      </c>
      <c r="G81" s="128">
        <v>9276</v>
      </c>
      <c r="H81" s="146">
        <v>10633</v>
      </c>
      <c r="I81" s="128">
        <v>4276</v>
      </c>
      <c r="J81" s="146">
        <v>4936</v>
      </c>
      <c r="K81" s="128">
        <v>9262</v>
      </c>
      <c r="L81" s="146">
        <v>10593</v>
      </c>
      <c r="M81" s="128"/>
      <c r="N81" s="146"/>
      <c r="O81" s="128"/>
      <c r="P81" s="146"/>
      <c r="Q81" s="128"/>
      <c r="R81" s="146"/>
      <c r="S81" s="128"/>
      <c r="T81" s="146"/>
      <c r="U81" s="128"/>
      <c r="V81" s="146"/>
      <c r="W81" s="128"/>
      <c r="X81" s="146"/>
      <c r="Y81" s="128"/>
      <c r="Z81" s="146"/>
      <c r="AA81" s="128"/>
      <c r="AB81" s="146"/>
      <c r="AC81" s="128"/>
      <c r="AD81" s="146"/>
      <c r="AE81" s="128"/>
      <c r="AF81" s="146"/>
      <c r="AG81" s="128"/>
      <c r="AH81" s="146"/>
      <c r="AI81" s="128"/>
      <c r="AJ81" s="146"/>
      <c r="AK81" s="128"/>
      <c r="AL81" s="146"/>
      <c r="AM81" s="128"/>
      <c r="AN81" s="146"/>
    </row>
    <row r="82" spans="1:40" s="242" customFormat="1" ht="15" customHeight="1">
      <c r="A82" s="120" t="s">
        <v>957</v>
      </c>
      <c r="B82" s="245" t="s">
        <v>142</v>
      </c>
      <c r="C82" s="246">
        <v>130891</v>
      </c>
      <c r="D82" s="154">
        <v>9</v>
      </c>
      <c r="E82" s="128">
        <v>1932</v>
      </c>
      <c r="F82" s="146">
        <v>2088</v>
      </c>
      <c r="G82" s="128">
        <v>4560</v>
      </c>
      <c r="H82" s="146">
        <v>4860</v>
      </c>
      <c r="I82" s="128"/>
      <c r="J82" s="146"/>
      <c r="K82" s="128"/>
      <c r="L82" s="146"/>
      <c r="M82" s="128"/>
      <c r="N82" s="146"/>
      <c r="O82" s="128"/>
      <c r="P82" s="146"/>
      <c r="Q82" s="128"/>
      <c r="R82" s="146"/>
      <c r="S82" s="128"/>
      <c r="T82" s="146"/>
      <c r="U82" s="128"/>
      <c r="V82" s="146"/>
      <c r="W82" s="128"/>
      <c r="X82" s="146"/>
      <c r="Y82" s="128"/>
      <c r="Z82" s="146"/>
      <c r="AA82" s="128"/>
      <c r="AB82" s="146"/>
      <c r="AC82" s="128"/>
      <c r="AD82" s="146"/>
      <c r="AE82" s="128"/>
      <c r="AF82" s="146"/>
      <c r="AG82" s="128"/>
      <c r="AH82" s="146"/>
      <c r="AI82" s="128"/>
      <c r="AJ82" s="146"/>
      <c r="AK82" s="128"/>
      <c r="AL82" s="146"/>
      <c r="AM82" s="128"/>
      <c r="AN82" s="146"/>
    </row>
    <row r="83" spans="1:40" s="242" customFormat="1" ht="15" customHeight="1">
      <c r="A83" s="120" t="s">
        <v>957</v>
      </c>
      <c r="B83" s="245" t="s">
        <v>143</v>
      </c>
      <c r="C83" s="246">
        <v>130916</v>
      </c>
      <c r="D83" s="154">
        <v>9</v>
      </c>
      <c r="E83" s="128">
        <v>1932</v>
      </c>
      <c r="F83" s="146">
        <v>2088</v>
      </c>
      <c r="G83" s="128">
        <v>4560</v>
      </c>
      <c r="H83" s="146">
        <v>4860</v>
      </c>
      <c r="I83" s="128"/>
      <c r="J83" s="146"/>
      <c r="K83" s="128"/>
      <c r="L83" s="146"/>
      <c r="M83" s="128"/>
      <c r="N83" s="146"/>
      <c r="O83" s="128"/>
      <c r="P83" s="146"/>
      <c r="Q83" s="128"/>
      <c r="R83" s="146"/>
      <c r="S83" s="128"/>
      <c r="T83" s="146"/>
      <c r="U83" s="128"/>
      <c r="V83" s="146"/>
      <c r="W83" s="128"/>
      <c r="X83" s="146"/>
      <c r="Y83" s="128"/>
      <c r="Z83" s="146"/>
      <c r="AA83" s="128"/>
      <c r="AB83" s="146"/>
      <c r="AC83" s="128"/>
      <c r="AD83" s="146"/>
      <c r="AE83" s="128"/>
      <c r="AF83" s="146"/>
      <c r="AG83" s="128"/>
      <c r="AH83" s="146"/>
      <c r="AI83" s="128"/>
      <c r="AJ83" s="146"/>
      <c r="AK83" s="128"/>
      <c r="AL83" s="146"/>
      <c r="AM83" s="128"/>
      <c r="AN83" s="146"/>
    </row>
    <row r="84" spans="1:40" s="121" customFormat="1" ht="15" customHeight="1">
      <c r="A84" s="120" t="s">
        <v>957</v>
      </c>
      <c r="B84" s="245" t="s">
        <v>144</v>
      </c>
      <c r="C84" s="246">
        <v>130907</v>
      </c>
      <c r="D84" s="154">
        <v>10</v>
      </c>
      <c r="E84" s="128">
        <v>1932</v>
      </c>
      <c r="F84" s="146">
        <v>2088</v>
      </c>
      <c r="G84" s="128">
        <v>4560</v>
      </c>
      <c r="H84" s="146">
        <v>4860</v>
      </c>
      <c r="I84" s="128"/>
      <c r="J84" s="146"/>
      <c r="K84" s="128"/>
      <c r="L84" s="146"/>
      <c r="M84" s="128"/>
      <c r="N84" s="146"/>
      <c r="O84" s="128"/>
      <c r="P84" s="146"/>
      <c r="Q84" s="128"/>
      <c r="R84" s="146"/>
      <c r="S84" s="128"/>
      <c r="T84" s="146"/>
      <c r="U84" s="128"/>
      <c r="V84" s="146"/>
      <c r="W84" s="128"/>
      <c r="X84" s="146"/>
      <c r="Y84" s="128"/>
      <c r="Z84" s="146"/>
      <c r="AA84" s="128"/>
      <c r="AB84" s="146"/>
      <c r="AC84" s="128"/>
      <c r="AD84" s="146"/>
      <c r="AE84" s="128"/>
      <c r="AF84" s="146"/>
      <c r="AG84" s="128"/>
      <c r="AH84" s="146"/>
      <c r="AI84" s="128"/>
      <c r="AJ84" s="146"/>
      <c r="AK84" s="128"/>
      <c r="AL84" s="146"/>
      <c r="AM84" s="128"/>
      <c r="AN84" s="146"/>
    </row>
    <row r="85" spans="1:40" s="121" customFormat="1" ht="15.75" customHeight="1">
      <c r="A85" s="125" t="s">
        <v>958</v>
      </c>
      <c r="B85" s="126" t="s">
        <v>771</v>
      </c>
      <c r="C85" s="127" t="s">
        <v>772</v>
      </c>
      <c r="D85" s="127">
        <v>1</v>
      </c>
      <c r="E85" s="128">
        <v>2859.6</v>
      </c>
      <c r="F85" s="146">
        <v>3037.5</v>
      </c>
      <c r="G85" s="128">
        <v>13887.6</v>
      </c>
      <c r="H85" s="146">
        <v>15543.9</v>
      </c>
      <c r="I85" s="128">
        <v>4828.08</v>
      </c>
      <c r="J85" s="146">
        <v>5367.84</v>
      </c>
      <c r="K85" s="128">
        <v>17656.8</v>
      </c>
      <c r="L85" s="146">
        <v>19800</v>
      </c>
      <c r="M85" s="128">
        <v>5393.04</v>
      </c>
      <c r="N85" s="146">
        <v>6003.6</v>
      </c>
      <c r="O85" s="128">
        <v>19624.08</v>
      </c>
      <c r="P85" s="146">
        <v>22013.52</v>
      </c>
      <c r="Q85" s="128">
        <v>15126.15</v>
      </c>
      <c r="R85" s="146">
        <v>16919.41</v>
      </c>
      <c r="S85" s="128">
        <v>44375.85</v>
      </c>
      <c r="T85" s="146">
        <v>49825.31</v>
      </c>
      <c r="U85" s="128"/>
      <c r="V85" s="146"/>
      <c r="W85" s="128"/>
      <c r="X85" s="146"/>
      <c r="Y85" s="128"/>
      <c r="Z85" s="146"/>
      <c r="AA85" s="128"/>
      <c r="AB85" s="146"/>
      <c r="AC85" s="128"/>
      <c r="AD85" s="146"/>
      <c r="AE85" s="128"/>
      <c r="AF85" s="146"/>
      <c r="AG85" s="128"/>
      <c r="AH85" s="146"/>
      <c r="AI85" s="128"/>
      <c r="AJ85" s="146"/>
      <c r="AK85" s="128"/>
      <c r="AL85" s="146"/>
      <c r="AM85" s="128"/>
      <c r="AN85" s="146"/>
    </row>
    <row r="86" spans="1:40" s="121" customFormat="1" ht="15.75" customHeight="1">
      <c r="A86" s="125" t="s">
        <v>958</v>
      </c>
      <c r="B86" s="126" t="s">
        <v>773</v>
      </c>
      <c r="C86" s="127" t="s">
        <v>774</v>
      </c>
      <c r="D86" s="127">
        <v>1</v>
      </c>
      <c r="E86" s="128">
        <v>2780.4</v>
      </c>
      <c r="F86" s="146">
        <v>2955</v>
      </c>
      <c r="G86" s="128">
        <v>13808.4</v>
      </c>
      <c r="H86" s="146">
        <v>15671.7</v>
      </c>
      <c r="I86" s="128">
        <v>4926.24</v>
      </c>
      <c r="J86" s="146">
        <v>5483.52</v>
      </c>
      <c r="K86" s="128">
        <v>18588.72</v>
      </c>
      <c r="L86" s="146">
        <v>21238.08</v>
      </c>
      <c r="M86" s="128">
        <v>5513.04</v>
      </c>
      <c r="N86" s="146">
        <v>6144</v>
      </c>
      <c r="O86" s="128">
        <v>19744.08</v>
      </c>
      <c r="P86" s="146">
        <v>22554.24</v>
      </c>
      <c r="Q86" s="128">
        <v>15665.64</v>
      </c>
      <c r="R86" s="146">
        <v>16639.74</v>
      </c>
      <c r="S86" s="128">
        <v>43130.15</v>
      </c>
      <c r="T86" s="146">
        <v>47537.31</v>
      </c>
      <c r="U86" s="167">
        <v>12714.52</v>
      </c>
      <c r="V86" s="146">
        <v>14494.22</v>
      </c>
      <c r="W86" s="128">
        <v>37640.64</v>
      </c>
      <c r="X86" s="146">
        <v>42033.29</v>
      </c>
      <c r="Y86" s="128">
        <v>4926.24</v>
      </c>
      <c r="Z86" s="146">
        <v>5483.52</v>
      </c>
      <c r="AA86" s="128">
        <v>18588.72</v>
      </c>
      <c r="AB86" s="146">
        <v>21238.08</v>
      </c>
      <c r="AC86" s="128"/>
      <c r="AD86" s="146"/>
      <c r="AE86" s="128"/>
      <c r="AF86" s="146"/>
      <c r="AG86" s="128"/>
      <c r="AH86" s="146"/>
      <c r="AI86" s="128"/>
      <c r="AJ86" s="146"/>
      <c r="AK86" s="128">
        <v>11724.06</v>
      </c>
      <c r="AL86" s="146">
        <v>12205.46</v>
      </c>
      <c r="AM86" s="128">
        <v>31785.06</v>
      </c>
      <c r="AN86" s="146">
        <v>34774.08</v>
      </c>
    </row>
    <row r="87" spans="1:40" s="121" customFormat="1" ht="15.75" customHeight="1">
      <c r="A87" s="125" t="s">
        <v>958</v>
      </c>
      <c r="B87" s="126" t="s">
        <v>775</v>
      </c>
      <c r="C87" s="127" t="s">
        <v>776</v>
      </c>
      <c r="D87" s="127">
        <v>1</v>
      </c>
      <c r="E87" s="128">
        <v>2982.5</v>
      </c>
      <c r="F87" s="146">
        <v>3166.7</v>
      </c>
      <c r="G87" s="128">
        <v>14010.8</v>
      </c>
      <c r="H87" s="146">
        <v>16040.3</v>
      </c>
      <c r="I87" s="128">
        <v>5102.72</v>
      </c>
      <c r="J87" s="146">
        <v>5667.68</v>
      </c>
      <c r="K87" s="128">
        <v>18765.2</v>
      </c>
      <c r="L87" s="146">
        <v>21543.44</v>
      </c>
      <c r="M87" s="128"/>
      <c r="N87" s="146"/>
      <c r="O87" s="128"/>
      <c r="P87" s="146"/>
      <c r="Q87" s="128">
        <v>15705.59</v>
      </c>
      <c r="R87" s="146">
        <v>17570.4</v>
      </c>
      <c r="S87" s="128">
        <v>44955.3</v>
      </c>
      <c r="T87" s="146">
        <v>50476.33</v>
      </c>
      <c r="U87" s="128"/>
      <c r="V87" s="146"/>
      <c r="W87" s="128"/>
      <c r="X87" s="146"/>
      <c r="Y87" s="128"/>
      <c r="Z87" s="146"/>
      <c r="AA87" s="128"/>
      <c r="AB87" s="146"/>
      <c r="AC87" s="128"/>
      <c r="AD87" s="146"/>
      <c r="AE87" s="128"/>
      <c r="AF87" s="146"/>
      <c r="AG87" s="128"/>
      <c r="AH87" s="146"/>
      <c r="AI87" s="128"/>
      <c r="AJ87" s="146"/>
      <c r="AK87" s="128"/>
      <c r="AL87" s="146"/>
      <c r="AM87" s="128"/>
      <c r="AN87" s="146"/>
    </row>
    <row r="88" spans="1:40" s="121" customFormat="1" ht="15.75" customHeight="1">
      <c r="A88" s="125" t="s">
        <v>958</v>
      </c>
      <c r="B88" s="126" t="s">
        <v>777</v>
      </c>
      <c r="C88" s="127" t="s">
        <v>778</v>
      </c>
      <c r="D88" s="127">
        <v>2</v>
      </c>
      <c r="E88" s="167">
        <v>2942.7</v>
      </c>
      <c r="F88" s="146">
        <v>3092.1</v>
      </c>
      <c r="G88" s="167">
        <v>13955.1</v>
      </c>
      <c r="H88" s="146">
        <v>15598.5</v>
      </c>
      <c r="I88" s="167">
        <v>5035.68</v>
      </c>
      <c r="J88" s="146">
        <v>5570.4</v>
      </c>
      <c r="K88" s="167">
        <v>18603.6</v>
      </c>
      <c r="L88" s="146">
        <v>20867.52</v>
      </c>
      <c r="M88" s="128"/>
      <c r="N88" s="146"/>
      <c r="O88" s="128"/>
      <c r="P88" s="146"/>
      <c r="Q88" s="128"/>
      <c r="R88" s="146"/>
      <c r="S88" s="128"/>
      <c r="T88" s="146"/>
      <c r="U88" s="128"/>
      <c r="V88" s="146"/>
      <c r="W88" s="128"/>
      <c r="X88" s="146"/>
      <c r="Y88" s="128"/>
      <c r="Z88" s="146"/>
      <c r="AA88" s="128"/>
      <c r="AB88" s="146"/>
      <c r="AC88" s="128"/>
      <c r="AD88" s="146"/>
      <c r="AE88" s="128"/>
      <c r="AF88" s="146"/>
      <c r="AG88" s="128"/>
      <c r="AH88" s="146"/>
      <c r="AI88" s="128"/>
      <c r="AJ88" s="146"/>
      <c r="AK88" s="128"/>
      <c r="AL88" s="146"/>
      <c r="AM88" s="128"/>
      <c r="AN88" s="146"/>
    </row>
    <row r="89" spans="1:40" s="121" customFormat="1" ht="15.75" customHeight="1">
      <c r="A89" s="125" t="s">
        <v>958</v>
      </c>
      <c r="B89" s="126" t="s">
        <v>779</v>
      </c>
      <c r="C89" s="127" t="s">
        <v>780</v>
      </c>
      <c r="D89" s="127">
        <v>2</v>
      </c>
      <c r="E89" s="128">
        <v>2891.7</v>
      </c>
      <c r="F89" s="146">
        <v>3157.6</v>
      </c>
      <c r="G89" s="128">
        <v>13919.7</v>
      </c>
      <c r="H89" s="146">
        <v>15664</v>
      </c>
      <c r="I89" s="128">
        <v>5060.04</v>
      </c>
      <c r="J89" s="146">
        <v>5694.4</v>
      </c>
      <c r="K89" s="128">
        <v>18722.52</v>
      </c>
      <c r="L89" s="146">
        <v>21065.2</v>
      </c>
      <c r="M89" s="128">
        <v>5646.84</v>
      </c>
      <c r="N89" s="146">
        <v>6354.88</v>
      </c>
      <c r="O89" s="128">
        <v>19877.88</v>
      </c>
      <c r="P89" s="146">
        <v>22365.04</v>
      </c>
      <c r="Q89" s="128"/>
      <c r="R89" s="146"/>
      <c r="S89" s="128"/>
      <c r="T89" s="146"/>
      <c r="U89" s="128"/>
      <c r="V89" s="146"/>
      <c r="W89" s="128"/>
      <c r="X89" s="146"/>
      <c r="Y89" s="128"/>
      <c r="Z89" s="146"/>
      <c r="AA89" s="128"/>
      <c r="AB89" s="146"/>
      <c r="AC89" s="128"/>
      <c r="AD89" s="146"/>
      <c r="AE89" s="128"/>
      <c r="AF89" s="146"/>
      <c r="AG89" s="128"/>
      <c r="AH89" s="146"/>
      <c r="AI89" s="128"/>
      <c r="AJ89" s="146"/>
      <c r="AK89" s="128"/>
      <c r="AL89" s="146"/>
      <c r="AM89" s="128"/>
      <c r="AN89" s="146"/>
    </row>
    <row r="90" spans="1:40" s="121" customFormat="1" ht="15.75" customHeight="1">
      <c r="A90" s="125" t="s">
        <v>958</v>
      </c>
      <c r="B90" s="126" t="s">
        <v>781</v>
      </c>
      <c r="C90" s="127" t="s">
        <v>782</v>
      </c>
      <c r="D90" s="127">
        <v>2</v>
      </c>
      <c r="E90" s="128">
        <v>3012.6</v>
      </c>
      <c r="F90" s="146">
        <v>3180</v>
      </c>
      <c r="G90" s="128">
        <v>14040.6</v>
      </c>
      <c r="H90" s="146">
        <v>15686.4</v>
      </c>
      <c r="I90" s="128">
        <v>5112</v>
      </c>
      <c r="J90" s="146">
        <v>5663.52</v>
      </c>
      <c r="K90" s="128">
        <v>18774.48</v>
      </c>
      <c r="L90" s="146">
        <v>21034.32</v>
      </c>
      <c r="M90" s="128"/>
      <c r="N90" s="146"/>
      <c r="O90" s="128"/>
      <c r="P90" s="146"/>
      <c r="Q90" s="128"/>
      <c r="R90" s="146"/>
      <c r="S90" s="128"/>
      <c r="T90" s="146"/>
      <c r="U90" s="128"/>
      <c r="V90" s="146"/>
      <c r="W90" s="128"/>
      <c r="X90" s="146"/>
      <c r="Y90" s="128"/>
      <c r="Z90" s="146"/>
      <c r="AA90" s="128"/>
      <c r="AB90" s="146"/>
      <c r="AC90" s="128"/>
      <c r="AD90" s="146"/>
      <c r="AE90" s="128"/>
      <c r="AF90" s="146"/>
      <c r="AG90" s="128"/>
      <c r="AH90" s="146"/>
      <c r="AI90" s="128"/>
      <c r="AJ90" s="146"/>
      <c r="AK90" s="128"/>
      <c r="AL90" s="146"/>
      <c r="AM90" s="128"/>
      <c r="AN90" s="146"/>
    </row>
    <row r="91" spans="1:40" s="121" customFormat="1" ht="15.75" customHeight="1">
      <c r="A91" s="125" t="s">
        <v>958</v>
      </c>
      <c r="B91" s="126" t="s">
        <v>783</v>
      </c>
      <c r="C91" s="127" t="s">
        <v>784</v>
      </c>
      <c r="D91" s="127">
        <v>3</v>
      </c>
      <c r="E91" s="128">
        <v>2912.86</v>
      </c>
      <c r="F91" s="146">
        <v>3063.7</v>
      </c>
      <c r="G91" s="128">
        <v>13267.96</v>
      </c>
      <c r="H91" s="146">
        <v>15160.3</v>
      </c>
      <c r="I91" s="128">
        <v>4811.92</v>
      </c>
      <c r="J91" s="146">
        <v>5317.84</v>
      </c>
      <c r="K91" s="128">
        <v>17640.64</v>
      </c>
      <c r="L91" s="146">
        <v>20224</v>
      </c>
      <c r="M91" s="128">
        <v>5362.96</v>
      </c>
      <c r="N91" s="146">
        <v>5938</v>
      </c>
      <c r="O91" s="128">
        <v>18725.68</v>
      </c>
      <c r="P91" s="146">
        <v>21473.2</v>
      </c>
      <c r="Q91" s="128"/>
      <c r="R91" s="146"/>
      <c r="S91" s="128"/>
      <c r="T91" s="146"/>
      <c r="U91" s="128"/>
      <c r="V91" s="146"/>
      <c r="W91" s="128"/>
      <c r="X91" s="146"/>
      <c r="Y91" s="128">
        <v>4811.92</v>
      </c>
      <c r="Z91" s="146">
        <v>5317.84</v>
      </c>
      <c r="AA91" s="128">
        <v>17640.64</v>
      </c>
      <c r="AB91" s="146">
        <v>20224</v>
      </c>
      <c r="AC91" s="128"/>
      <c r="AD91" s="146"/>
      <c r="AE91" s="128"/>
      <c r="AF91" s="146"/>
      <c r="AG91" s="128"/>
      <c r="AH91" s="146"/>
      <c r="AI91" s="128"/>
      <c r="AJ91" s="146"/>
      <c r="AK91" s="128"/>
      <c r="AL91" s="146"/>
      <c r="AM91" s="128"/>
      <c r="AN91" s="146"/>
    </row>
    <row r="92" spans="1:40" s="121" customFormat="1" ht="15.75" customHeight="1">
      <c r="A92" s="125" t="s">
        <v>958</v>
      </c>
      <c r="B92" s="126" t="s">
        <v>785</v>
      </c>
      <c r="C92" s="127" t="s">
        <v>786</v>
      </c>
      <c r="D92" s="127">
        <v>3</v>
      </c>
      <c r="E92" s="128">
        <v>2913</v>
      </c>
      <c r="F92" s="146">
        <v>3101.1</v>
      </c>
      <c r="G92" s="128">
        <v>13268.1</v>
      </c>
      <c r="H92" s="146">
        <v>14850.6</v>
      </c>
      <c r="I92" s="128">
        <v>5002.56</v>
      </c>
      <c r="J92" s="146">
        <v>5567.28</v>
      </c>
      <c r="K92" s="128">
        <v>17831.28</v>
      </c>
      <c r="L92" s="146">
        <v>19999.44</v>
      </c>
      <c r="M92" s="128"/>
      <c r="N92" s="146"/>
      <c r="O92" s="128"/>
      <c r="P92" s="146"/>
      <c r="Q92" s="128"/>
      <c r="R92" s="146"/>
      <c r="S92" s="128"/>
      <c r="T92" s="146"/>
      <c r="U92" s="128"/>
      <c r="V92" s="146"/>
      <c r="W92" s="128"/>
      <c r="X92" s="146"/>
      <c r="Y92" s="128"/>
      <c r="Z92" s="146"/>
      <c r="AA92" s="128"/>
      <c r="AB92" s="146"/>
      <c r="AC92" s="128"/>
      <c r="AD92" s="146"/>
      <c r="AE92" s="128"/>
      <c r="AF92" s="146"/>
      <c r="AG92" s="128"/>
      <c r="AH92" s="146"/>
      <c r="AI92" s="128"/>
      <c r="AJ92" s="146"/>
      <c r="AK92" s="128"/>
      <c r="AL92" s="146"/>
      <c r="AM92" s="128"/>
      <c r="AN92" s="146"/>
    </row>
    <row r="93" spans="1:40" s="121" customFormat="1" ht="15.75" customHeight="1">
      <c r="A93" s="125" t="s">
        <v>958</v>
      </c>
      <c r="B93" s="126" t="s">
        <v>787</v>
      </c>
      <c r="C93" s="127" t="s">
        <v>788</v>
      </c>
      <c r="D93" s="127">
        <v>3</v>
      </c>
      <c r="E93" s="128">
        <v>2855.7</v>
      </c>
      <c r="F93" s="146">
        <v>3039.3</v>
      </c>
      <c r="G93" s="128">
        <v>13883.7</v>
      </c>
      <c r="H93" s="146">
        <v>15545.7</v>
      </c>
      <c r="I93" s="128">
        <v>4988.88</v>
      </c>
      <c r="J93" s="146">
        <v>5550.96</v>
      </c>
      <c r="K93" s="167">
        <v>18651.36</v>
      </c>
      <c r="L93" s="146">
        <v>20921.52</v>
      </c>
      <c r="M93" s="128"/>
      <c r="N93" s="146"/>
      <c r="O93" s="128"/>
      <c r="P93" s="146"/>
      <c r="Q93" s="128"/>
      <c r="R93" s="146"/>
      <c r="S93" s="128"/>
      <c r="T93" s="146"/>
      <c r="U93" s="128"/>
      <c r="V93" s="146"/>
      <c r="W93" s="128"/>
      <c r="X93" s="146"/>
      <c r="Y93" s="128"/>
      <c r="Z93" s="146"/>
      <c r="AA93" s="128"/>
      <c r="AB93" s="146"/>
      <c r="AC93" s="128"/>
      <c r="AD93" s="146"/>
      <c r="AE93" s="128"/>
      <c r="AF93" s="146"/>
      <c r="AG93" s="128"/>
      <c r="AH93" s="146"/>
      <c r="AI93" s="128"/>
      <c r="AJ93" s="146"/>
      <c r="AK93" s="128"/>
      <c r="AL93" s="146"/>
      <c r="AM93" s="128"/>
      <c r="AN93" s="146"/>
    </row>
    <row r="94" spans="1:40" s="121" customFormat="1" ht="15.75" customHeight="1">
      <c r="A94" s="125" t="s">
        <v>958</v>
      </c>
      <c r="B94" s="126" t="s">
        <v>789</v>
      </c>
      <c r="C94" s="127" t="s">
        <v>790</v>
      </c>
      <c r="D94" s="127">
        <v>5</v>
      </c>
      <c r="E94" s="128">
        <v>2908.4</v>
      </c>
      <c r="F94" s="146">
        <v>3150.5</v>
      </c>
      <c r="G94" s="128">
        <v>13263.2</v>
      </c>
      <c r="H94" s="146">
        <v>15247.1</v>
      </c>
      <c r="I94" s="128">
        <v>4780.52</v>
      </c>
      <c r="J94" s="146">
        <v>5363.96</v>
      </c>
      <c r="K94" s="128">
        <v>17609.24</v>
      </c>
      <c r="L94" s="146">
        <v>20270.6</v>
      </c>
      <c r="M94" s="128"/>
      <c r="N94" s="146"/>
      <c r="O94" s="128"/>
      <c r="P94" s="146"/>
      <c r="Q94" s="128"/>
      <c r="R94" s="146"/>
      <c r="S94" s="128"/>
      <c r="T94" s="146"/>
      <c r="U94" s="128"/>
      <c r="V94" s="146"/>
      <c r="W94" s="128"/>
      <c r="X94" s="146"/>
      <c r="Y94" s="128"/>
      <c r="Z94" s="146"/>
      <c r="AA94" s="128"/>
      <c r="AB94" s="146"/>
      <c r="AC94" s="128"/>
      <c r="AD94" s="146"/>
      <c r="AE94" s="128"/>
      <c r="AF94" s="146"/>
      <c r="AG94" s="128"/>
      <c r="AH94" s="146"/>
      <c r="AI94" s="128"/>
      <c r="AJ94" s="146"/>
      <c r="AK94" s="128"/>
      <c r="AL94" s="146"/>
      <c r="AM94" s="128"/>
      <c r="AN94" s="146"/>
    </row>
    <row r="95" spans="1:40" s="121" customFormat="1" ht="15.75" customHeight="1">
      <c r="A95" s="269" t="s">
        <v>958</v>
      </c>
      <c r="B95" s="269" t="s">
        <v>791</v>
      </c>
      <c r="C95" s="270">
        <v>262129</v>
      </c>
      <c r="D95" s="127">
        <v>6</v>
      </c>
      <c r="E95" s="128">
        <v>2701.3</v>
      </c>
      <c r="F95" s="146">
        <v>2876.7</v>
      </c>
      <c r="G95" s="128">
        <v>13729.3</v>
      </c>
      <c r="H95" s="146">
        <v>15383.1</v>
      </c>
      <c r="I95" s="128"/>
      <c r="J95" s="146"/>
      <c r="K95" s="128"/>
      <c r="L95" s="146"/>
      <c r="M95" s="128"/>
      <c r="N95" s="146"/>
      <c r="O95" s="128"/>
      <c r="P95" s="146"/>
      <c r="Q95" s="128"/>
      <c r="R95" s="146"/>
      <c r="S95" s="128"/>
      <c r="T95" s="146"/>
      <c r="U95" s="128"/>
      <c r="V95" s="146"/>
      <c r="W95" s="128"/>
      <c r="X95" s="146"/>
      <c r="Y95" s="128"/>
      <c r="Z95" s="146"/>
      <c r="AA95" s="128"/>
      <c r="AB95" s="146"/>
      <c r="AC95" s="128"/>
      <c r="AD95" s="146"/>
      <c r="AE95" s="128"/>
      <c r="AF95" s="146"/>
      <c r="AG95" s="128"/>
      <c r="AH95" s="146"/>
      <c r="AI95" s="128"/>
      <c r="AJ95" s="146"/>
      <c r="AK95" s="128"/>
      <c r="AL95" s="146"/>
      <c r="AM95" s="128"/>
      <c r="AN95" s="146"/>
    </row>
    <row r="96" spans="1:40" s="121" customFormat="1" ht="15" customHeight="1">
      <c r="A96" s="122" t="s">
        <v>958</v>
      </c>
      <c r="B96" s="123" t="s">
        <v>718</v>
      </c>
      <c r="C96" s="124" t="s">
        <v>719</v>
      </c>
      <c r="D96" s="124">
        <v>8</v>
      </c>
      <c r="E96" s="128">
        <v>1695</v>
      </c>
      <c r="F96" s="146">
        <v>1785</v>
      </c>
      <c r="G96" s="128">
        <v>6308</v>
      </c>
      <c r="H96" s="146">
        <v>6750</v>
      </c>
      <c r="I96" s="128"/>
      <c r="J96" s="146"/>
      <c r="K96" s="128"/>
      <c r="L96" s="146"/>
      <c r="M96" s="128"/>
      <c r="N96" s="146"/>
      <c r="O96" s="128"/>
      <c r="P96" s="146"/>
      <c r="Q96" s="128"/>
      <c r="R96" s="146"/>
      <c r="S96" s="128"/>
      <c r="T96" s="146"/>
      <c r="U96" s="128"/>
      <c r="V96" s="146"/>
      <c r="W96" s="128"/>
      <c r="X96" s="146"/>
      <c r="Y96" s="128"/>
      <c r="Z96" s="146"/>
      <c r="AA96" s="128"/>
      <c r="AB96" s="146"/>
      <c r="AC96" s="128"/>
      <c r="AD96" s="146"/>
      <c r="AE96" s="128"/>
      <c r="AF96" s="146"/>
      <c r="AG96" s="128"/>
      <c r="AH96" s="146"/>
      <c r="AI96" s="128"/>
      <c r="AJ96" s="146"/>
      <c r="AK96" s="128"/>
      <c r="AL96" s="146"/>
      <c r="AM96" s="128"/>
      <c r="AN96" s="146"/>
    </row>
    <row r="97" spans="1:40" s="121" customFormat="1" ht="15" customHeight="1">
      <c r="A97" s="122" t="s">
        <v>958</v>
      </c>
      <c r="B97" s="123" t="s">
        <v>720</v>
      </c>
      <c r="C97" s="124" t="s">
        <v>721</v>
      </c>
      <c r="D97" s="124">
        <v>8</v>
      </c>
      <c r="E97" s="128">
        <v>1647</v>
      </c>
      <c r="F97" s="146">
        <v>1755</v>
      </c>
      <c r="G97" s="128">
        <v>6208</v>
      </c>
      <c r="H97" s="146">
        <v>6541</v>
      </c>
      <c r="I97" s="128"/>
      <c r="J97" s="146"/>
      <c r="K97" s="128"/>
      <c r="L97" s="146"/>
      <c r="M97" s="128"/>
      <c r="N97" s="146"/>
      <c r="O97" s="128"/>
      <c r="P97" s="146"/>
      <c r="Q97" s="128"/>
      <c r="R97" s="146"/>
      <c r="S97" s="128"/>
      <c r="T97" s="146"/>
      <c r="U97" s="128"/>
      <c r="V97" s="146"/>
      <c r="W97" s="128"/>
      <c r="X97" s="146"/>
      <c r="Y97" s="128"/>
      <c r="Z97" s="146"/>
      <c r="AA97" s="128"/>
      <c r="AB97" s="146"/>
      <c r="AC97" s="128"/>
      <c r="AD97" s="146"/>
      <c r="AE97" s="128"/>
      <c r="AF97" s="146"/>
      <c r="AG97" s="128"/>
      <c r="AH97" s="146"/>
      <c r="AI97" s="128"/>
      <c r="AJ97" s="146"/>
      <c r="AK97" s="128"/>
      <c r="AL97" s="146"/>
      <c r="AM97" s="128"/>
      <c r="AN97" s="146"/>
    </row>
    <row r="98" spans="1:40" s="121" customFormat="1" ht="15" customHeight="1">
      <c r="A98" s="122" t="s">
        <v>958</v>
      </c>
      <c r="B98" s="123" t="s">
        <v>722</v>
      </c>
      <c r="C98" s="124" t="s">
        <v>723</v>
      </c>
      <c r="D98" s="124">
        <v>8</v>
      </c>
      <c r="E98" s="128">
        <v>1739</v>
      </c>
      <c r="F98" s="146">
        <v>1825</v>
      </c>
      <c r="G98" s="128">
        <v>6530</v>
      </c>
      <c r="H98" s="146">
        <v>6850</v>
      </c>
      <c r="I98" s="128"/>
      <c r="J98" s="146"/>
      <c r="K98" s="128"/>
      <c r="L98" s="146"/>
      <c r="M98" s="128"/>
      <c r="N98" s="146"/>
      <c r="O98" s="128"/>
      <c r="P98" s="146"/>
      <c r="Q98" s="128"/>
      <c r="R98" s="146"/>
      <c r="S98" s="128"/>
      <c r="T98" s="146"/>
      <c r="U98" s="128"/>
      <c r="V98" s="146"/>
      <c r="W98" s="128"/>
      <c r="X98" s="146"/>
      <c r="Y98" s="128"/>
      <c r="Z98" s="146"/>
      <c r="AA98" s="128"/>
      <c r="AB98" s="146"/>
      <c r="AC98" s="128"/>
      <c r="AD98" s="146"/>
      <c r="AE98" s="128"/>
      <c r="AF98" s="146"/>
      <c r="AG98" s="128"/>
      <c r="AH98" s="146"/>
      <c r="AI98" s="128"/>
      <c r="AJ98" s="146"/>
      <c r="AK98" s="128"/>
      <c r="AL98" s="146"/>
      <c r="AM98" s="128"/>
      <c r="AN98" s="146"/>
    </row>
    <row r="99" spans="1:40" s="121" customFormat="1" ht="15" customHeight="1">
      <c r="A99" s="122" t="s">
        <v>958</v>
      </c>
      <c r="B99" s="123" t="s">
        <v>724</v>
      </c>
      <c r="C99" s="124" t="s">
        <v>725</v>
      </c>
      <c r="D99" s="124">
        <v>8</v>
      </c>
      <c r="E99" s="128">
        <v>1747</v>
      </c>
      <c r="F99" s="146">
        <v>1833</v>
      </c>
      <c r="G99" s="128">
        <v>6513</v>
      </c>
      <c r="H99" s="146">
        <v>6835</v>
      </c>
      <c r="I99" s="128"/>
      <c r="J99" s="146"/>
      <c r="K99" s="128"/>
      <c r="L99" s="146"/>
      <c r="M99" s="128"/>
      <c r="N99" s="146"/>
      <c r="O99" s="128"/>
      <c r="P99" s="146"/>
      <c r="Q99" s="128"/>
      <c r="R99" s="146"/>
      <c r="S99" s="128"/>
      <c r="T99" s="146"/>
      <c r="U99" s="128"/>
      <c r="V99" s="146"/>
      <c r="W99" s="128"/>
      <c r="X99" s="146"/>
      <c r="Y99" s="128"/>
      <c r="Z99" s="146"/>
      <c r="AA99" s="128"/>
      <c r="AB99" s="146"/>
      <c r="AC99" s="128"/>
      <c r="AD99" s="146"/>
      <c r="AE99" s="128"/>
      <c r="AF99" s="146"/>
      <c r="AG99" s="128"/>
      <c r="AH99" s="146"/>
      <c r="AI99" s="128"/>
      <c r="AJ99" s="146"/>
      <c r="AK99" s="128"/>
      <c r="AL99" s="146"/>
      <c r="AM99" s="128"/>
      <c r="AN99" s="146"/>
    </row>
    <row r="100" spans="1:40" s="121" customFormat="1" ht="15" customHeight="1">
      <c r="A100" s="122" t="s">
        <v>958</v>
      </c>
      <c r="B100" s="123" t="s">
        <v>726</v>
      </c>
      <c r="C100" s="124" t="s">
        <v>727</v>
      </c>
      <c r="D100" s="124">
        <v>8</v>
      </c>
      <c r="E100" s="128">
        <v>1707</v>
      </c>
      <c r="F100" s="146">
        <v>1764</v>
      </c>
      <c r="G100" s="128">
        <v>6450</v>
      </c>
      <c r="H100" s="146">
        <v>6756</v>
      </c>
      <c r="I100" s="128"/>
      <c r="J100" s="146"/>
      <c r="K100" s="128"/>
      <c r="L100" s="146"/>
      <c r="M100" s="128"/>
      <c r="N100" s="146"/>
      <c r="O100" s="128"/>
      <c r="P100" s="146"/>
      <c r="Q100" s="128"/>
      <c r="R100" s="146"/>
      <c r="S100" s="128"/>
      <c r="T100" s="146"/>
      <c r="U100" s="128"/>
      <c r="V100" s="146"/>
      <c r="W100" s="128"/>
      <c r="X100" s="146"/>
      <c r="Y100" s="128"/>
      <c r="Z100" s="146"/>
      <c r="AA100" s="128"/>
      <c r="AB100" s="146"/>
      <c r="AC100" s="128"/>
      <c r="AD100" s="146"/>
      <c r="AE100" s="128"/>
      <c r="AF100" s="146"/>
      <c r="AG100" s="128"/>
      <c r="AH100" s="146"/>
      <c r="AI100" s="128"/>
      <c r="AJ100" s="146"/>
      <c r="AK100" s="128"/>
      <c r="AL100" s="146"/>
      <c r="AM100" s="128"/>
      <c r="AN100" s="146"/>
    </row>
    <row r="101" spans="1:40" s="121" customFormat="1" ht="15" customHeight="1">
      <c r="A101" s="122" t="s">
        <v>958</v>
      </c>
      <c r="B101" s="123" t="s">
        <v>728</v>
      </c>
      <c r="C101" s="124" t="s">
        <v>729</v>
      </c>
      <c r="D101" s="124">
        <v>8</v>
      </c>
      <c r="E101" s="128">
        <v>1747</v>
      </c>
      <c r="F101" s="146">
        <v>1833</v>
      </c>
      <c r="G101" s="128">
        <v>6513</v>
      </c>
      <c r="H101" s="146">
        <v>6835</v>
      </c>
      <c r="I101" s="128"/>
      <c r="J101" s="146"/>
      <c r="K101" s="128"/>
      <c r="L101" s="146"/>
      <c r="M101" s="128"/>
      <c r="N101" s="146"/>
      <c r="O101" s="128"/>
      <c r="P101" s="146"/>
      <c r="Q101" s="128"/>
      <c r="R101" s="146"/>
      <c r="S101" s="128"/>
      <c r="T101" s="146"/>
      <c r="U101" s="128"/>
      <c r="V101" s="146"/>
      <c r="W101" s="128"/>
      <c r="X101" s="146"/>
      <c r="Y101" s="128"/>
      <c r="Z101" s="146"/>
      <c r="AA101" s="128"/>
      <c r="AB101" s="146"/>
      <c r="AC101" s="128"/>
      <c r="AD101" s="146"/>
      <c r="AE101" s="128"/>
      <c r="AF101" s="146"/>
      <c r="AG101" s="128"/>
      <c r="AH101" s="146"/>
      <c r="AI101" s="128"/>
      <c r="AJ101" s="146"/>
      <c r="AK101" s="128"/>
      <c r="AL101" s="146"/>
      <c r="AM101" s="128"/>
      <c r="AN101" s="146"/>
    </row>
    <row r="102" spans="1:40" s="121" customFormat="1" ht="15" customHeight="1">
      <c r="A102" s="122" t="s">
        <v>958</v>
      </c>
      <c r="B102" s="123" t="s">
        <v>730</v>
      </c>
      <c r="C102" s="124" t="s">
        <v>731</v>
      </c>
      <c r="D102" s="124">
        <v>8</v>
      </c>
      <c r="E102" s="128">
        <v>1656</v>
      </c>
      <c r="F102" s="146">
        <v>1740</v>
      </c>
      <c r="G102" s="128">
        <v>6240</v>
      </c>
      <c r="H102" s="146">
        <v>6570</v>
      </c>
      <c r="I102" s="128"/>
      <c r="J102" s="146"/>
      <c r="K102" s="128"/>
      <c r="L102" s="146"/>
      <c r="M102" s="128"/>
      <c r="N102" s="146"/>
      <c r="O102" s="128"/>
      <c r="P102" s="146"/>
      <c r="Q102" s="128"/>
      <c r="R102" s="146"/>
      <c r="S102" s="128"/>
      <c r="T102" s="146"/>
      <c r="U102" s="128"/>
      <c r="V102" s="146"/>
      <c r="W102" s="128"/>
      <c r="X102" s="146"/>
      <c r="Y102" s="128"/>
      <c r="Z102" s="146"/>
      <c r="AA102" s="128"/>
      <c r="AB102" s="146"/>
      <c r="AC102" s="128"/>
      <c r="AD102" s="146"/>
      <c r="AE102" s="128"/>
      <c r="AF102" s="146"/>
      <c r="AG102" s="128"/>
      <c r="AH102" s="146"/>
      <c r="AI102" s="128"/>
      <c r="AJ102" s="146"/>
      <c r="AK102" s="128"/>
      <c r="AL102" s="146"/>
      <c r="AM102" s="128"/>
      <c r="AN102" s="146"/>
    </row>
    <row r="103" spans="1:40" s="121" customFormat="1" ht="15" customHeight="1">
      <c r="A103" s="122" t="s">
        <v>958</v>
      </c>
      <c r="B103" s="123" t="s">
        <v>732</v>
      </c>
      <c r="C103" s="124" t="s">
        <v>733</v>
      </c>
      <c r="D103" s="124">
        <v>8</v>
      </c>
      <c r="E103" s="128">
        <v>1742</v>
      </c>
      <c r="F103" s="146">
        <v>1833</v>
      </c>
      <c r="G103" s="128">
        <v>6507</v>
      </c>
      <c r="H103" s="146">
        <v>6834</v>
      </c>
      <c r="I103" s="128"/>
      <c r="J103" s="146"/>
      <c r="K103" s="128"/>
      <c r="L103" s="146"/>
      <c r="M103" s="128"/>
      <c r="N103" s="146"/>
      <c r="O103" s="128"/>
      <c r="P103" s="146"/>
      <c r="Q103" s="128"/>
      <c r="R103" s="146"/>
      <c r="S103" s="128"/>
      <c r="T103" s="146"/>
      <c r="U103" s="128"/>
      <c r="V103" s="146"/>
      <c r="W103" s="128"/>
      <c r="X103" s="146"/>
      <c r="Y103" s="128"/>
      <c r="Z103" s="146"/>
      <c r="AA103" s="128"/>
      <c r="AB103" s="146"/>
      <c r="AC103" s="128"/>
      <c r="AD103" s="146"/>
      <c r="AE103" s="128"/>
      <c r="AF103" s="146"/>
      <c r="AG103" s="128"/>
      <c r="AH103" s="146"/>
      <c r="AI103" s="128"/>
      <c r="AJ103" s="146"/>
      <c r="AK103" s="128"/>
      <c r="AL103" s="146"/>
      <c r="AM103" s="128"/>
      <c r="AN103" s="146"/>
    </row>
    <row r="104" spans="1:40" s="121" customFormat="1" ht="15" customHeight="1">
      <c r="A104" s="122" t="s">
        <v>958</v>
      </c>
      <c r="B104" s="123" t="s">
        <v>393</v>
      </c>
      <c r="C104" s="124" t="s">
        <v>734</v>
      </c>
      <c r="D104" s="124">
        <v>8</v>
      </c>
      <c r="E104" s="128">
        <v>1695</v>
      </c>
      <c r="F104" s="146">
        <v>1775</v>
      </c>
      <c r="G104" s="128">
        <v>5925</v>
      </c>
      <c r="H104" s="146">
        <v>6209</v>
      </c>
      <c r="I104" s="128"/>
      <c r="J104" s="146"/>
      <c r="K104" s="128"/>
      <c r="L104" s="146"/>
      <c r="M104" s="128"/>
      <c r="N104" s="146"/>
      <c r="O104" s="128"/>
      <c r="P104" s="146"/>
      <c r="Q104" s="128"/>
      <c r="R104" s="146"/>
      <c r="S104" s="128"/>
      <c r="T104" s="146"/>
      <c r="U104" s="128"/>
      <c r="V104" s="146"/>
      <c r="W104" s="128"/>
      <c r="X104" s="146"/>
      <c r="Y104" s="128"/>
      <c r="Z104" s="146"/>
      <c r="AA104" s="128"/>
      <c r="AB104" s="146"/>
      <c r="AC104" s="128"/>
      <c r="AD104" s="146"/>
      <c r="AE104" s="128"/>
      <c r="AF104" s="146"/>
      <c r="AG104" s="128"/>
      <c r="AH104" s="146"/>
      <c r="AI104" s="128"/>
      <c r="AJ104" s="146"/>
      <c r="AK104" s="128"/>
      <c r="AL104" s="146"/>
      <c r="AM104" s="128"/>
      <c r="AN104" s="146"/>
    </row>
    <row r="105" spans="1:40" s="121" customFormat="1" ht="15" customHeight="1">
      <c r="A105" s="122" t="s">
        <v>958</v>
      </c>
      <c r="B105" s="123" t="s">
        <v>735</v>
      </c>
      <c r="C105" s="124" t="s">
        <v>736</v>
      </c>
      <c r="D105" s="124">
        <v>8</v>
      </c>
      <c r="E105" s="128">
        <v>1650</v>
      </c>
      <c r="F105" s="146">
        <v>1740</v>
      </c>
      <c r="G105" s="128">
        <v>6240</v>
      </c>
      <c r="H105" s="146">
        <v>6540</v>
      </c>
      <c r="I105" s="128"/>
      <c r="J105" s="146"/>
      <c r="K105" s="128"/>
      <c r="L105" s="146"/>
      <c r="M105" s="128"/>
      <c r="N105" s="146"/>
      <c r="O105" s="128"/>
      <c r="P105" s="146"/>
      <c r="Q105" s="128"/>
      <c r="R105" s="146"/>
      <c r="S105" s="128"/>
      <c r="T105" s="146"/>
      <c r="U105" s="128"/>
      <c r="V105" s="146"/>
      <c r="W105" s="128"/>
      <c r="X105" s="146"/>
      <c r="Y105" s="128"/>
      <c r="Z105" s="146"/>
      <c r="AA105" s="128"/>
      <c r="AB105" s="146"/>
      <c r="AC105" s="128"/>
      <c r="AD105" s="146"/>
      <c r="AE105" s="128"/>
      <c r="AF105" s="146"/>
      <c r="AG105" s="128"/>
      <c r="AH105" s="146"/>
      <c r="AI105" s="128"/>
      <c r="AJ105" s="146"/>
      <c r="AK105" s="128"/>
      <c r="AL105" s="146"/>
      <c r="AM105" s="128"/>
      <c r="AN105" s="146"/>
    </row>
    <row r="106" spans="1:40" s="121" customFormat="1" ht="15" customHeight="1">
      <c r="A106" s="122" t="s">
        <v>958</v>
      </c>
      <c r="B106" s="123" t="s">
        <v>737</v>
      </c>
      <c r="C106" s="124" t="s">
        <v>738</v>
      </c>
      <c r="D106" s="124">
        <v>8</v>
      </c>
      <c r="E106" s="128">
        <v>1671</v>
      </c>
      <c r="F106" s="146">
        <v>1755</v>
      </c>
      <c r="G106" s="128">
        <v>6231</v>
      </c>
      <c r="H106" s="146">
        <v>6540</v>
      </c>
      <c r="I106" s="128"/>
      <c r="J106" s="146"/>
      <c r="K106" s="128"/>
      <c r="L106" s="146"/>
      <c r="M106" s="128"/>
      <c r="N106" s="146"/>
      <c r="O106" s="128"/>
      <c r="P106" s="146"/>
      <c r="Q106" s="128"/>
      <c r="R106" s="146"/>
      <c r="S106" s="128"/>
      <c r="T106" s="146"/>
      <c r="U106" s="128"/>
      <c r="V106" s="146"/>
      <c r="W106" s="128"/>
      <c r="X106" s="146"/>
      <c r="Y106" s="128"/>
      <c r="Z106" s="146"/>
      <c r="AA106" s="128"/>
      <c r="AB106" s="146"/>
      <c r="AC106" s="128"/>
      <c r="AD106" s="146"/>
      <c r="AE106" s="128"/>
      <c r="AF106" s="146"/>
      <c r="AG106" s="128"/>
      <c r="AH106" s="146"/>
      <c r="AI106" s="128"/>
      <c r="AJ106" s="146"/>
      <c r="AK106" s="128"/>
      <c r="AL106" s="146"/>
      <c r="AM106" s="128"/>
      <c r="AN106" s="146"/>
    </row>
    <row r="107" spans="1:40" s="121" customFormat="1" ht="15" customHeight="1">
      <c r="A107" s="122" t="s">
        <v>958</v>
      </c>
      <c r="B107" s="123" t="s">
        <v>739</v>
      </c>
      <c r="C107" s="124" t="s">
        <v>740</v>
      </c>
      <c r="D107" s="124">
        <v>8</v>
      </c>
      <c r="E107" s="128">
        <v>1673</v>
      </c>
      <c r="F107" s="146">
        <v>1755</v>
      </c>
      <c r="G107" s="128">
        <v>6233</v>
      </c>
      <c r="H107" s="146">
        <v>6540</v>
      </c>
      <c r="I107" s="128"/>
      <c r="J107" s="146"/>
      <c r="K107" s="128"/>
      <c r="L107" s="146"/>
      <c r="M107" s="128"/>
      <c r="N107" s="146"/>
      <c r="O107" s="128"/>
      <c r="P107" s="146"/>
      <c r="Q107" s="128"/>
      <c r="R107" s="146"/>
      <c r="S107" s="128"/>
      <c r="T107" s="146"/>
      <c r="U107" s="128"/>
      <c r="V107" s="146"/>
      <c r="W107" s="128"/>
      <c r="X107" s="146"/>
      <c r="Y107" s="128"/>
      <c r="Z107" s="146"/>
      <c r="AA107" s="128"/>
      <c r="AB107" s="146"/>
      <c r="AC107" s="128"/>
      <c r="AD107" s="146"/>
      <c r="AE107" s="128"/>
      <c r="AF107" s="146"/>
      <c r="AG107" s="128"/>
      <c r="AH107" s="146"/>
      <c r="AI107" s="128"/>
      <c r="AJ107" s="146"/>
      <c r="AK107" s="128"/>
      <c r="AL107" s="146"/>
      <c r="AM107" s="128"/>
      <c r="AN107" s="146"/>
    </row>
    <row r="108" spans="1:40" s="121" customFormat="1" ht="15" customHeight="1">
      <c r="A108" s="122" t="s">
        <v>958</v>
      </c>
      <c r="B108" s="123" t="s">
        <v>741</v>
      </c>
      <c r="C108" s="124" t="s">
        <v>742</v>
      </c>
      <c r="D108" s="124">
        <v>8</v>
      </c>
      <c r="E108" s="128">
        <v>1747</v>
      </c>
      <c r="F108" s="146">
        <v>1833</v>
      </c>
      <c r="G108" s="128">
        <v>6513</v>
      </c>
      <c r="H108" s="146">
        <v>6835</v>
      </c>
      <c r="I108" s="128"/>
      <c r="J108" s="146"/>
      <c r="K108" s="128"/>
      <c r="L108" s="146"/>
      <c r="M108" s="128"/>
      <c r="N108" s="146"/>
      <c r="O108" s="128"/>
      <c r="P108" s="146"/>
      <c r="Q108" s="128"/>
      <c r="R108" s="146"/>
      <c r="S108" s="128"/>
      <c r="T108" s="146"/>
      <c r="U108" s="128"/>
      <c r="V108" s="146"/>
      <c r="W108" s="128"/>
      <c r="X108" s="146"/>
      <c r="Y108" s="128"/>
      <c r="Z108" s="146"/>
      <c r="AA108" s="128"/>
      <c r="AB108" s="146"/>
      <c r="AC108" s="128"/>
      <c r="AD108" s="146"/>
      <c r="AE108" s="128"/>
      <c r="AF108" s="146"/>
      <c r="AG108" s="128"/>
      <c r="AH108" s="146"/>
      <c r="AI108" s="128"/>
      <c r="AJ108" s="146"/>
      <c r="AK108" s="128"/>
      <c r="AL108" s="146"/>
      <c r="AM108" s="128"/>
      <c r="AN108" s="146"/>
    </row>
    <row r="109" spans="1:40" s="121" customFormat="1" ht="15" customHeight="1">
      <c r="A109" s="122" t="s">
        <v>958</v>
      </c>
      <c r="B109" s="123" t="s">
        <v>743</v>
      </c>
      <c r="C109" s="124" t="s">
        <v>744</v>
      </c>
      <c r="D109" s="124">
        <v>8</v>
      </c>
      <c r="E109" s="128">
        <v>1747</v>
      </c>
      <c r="F109" s="146">
        <v>1833</v>
      </c>
      <c r="G109" s="128">
        <v>6513</v>
      </c>
      <c r="H109" s="146">
        <v>6835</v>
      </c>
      <c r="I109" s="128"/>
      <c r="J109" s="146"/>
      <c r="K109" s="128"/>
      <c r="L109" s="146"/>
      <c r="M109" s="128"/>
      <c r="N109" s="146"/>
      <c r="O109" s="128"/>
      <c r="P109" s="146"/>
      <c r="Q109" s="128"/>
      <c r="R109" s="146"/>
      <c r="S109" s="128"/>
      <c r="T109" s="146"/>
      <c r="U109" s="128"/>
      <c r="V109" s="146"/>
      <c r="W109" s="128"/>
      <c r="X109" s="146"/>
      <c r="Y109" s="128"/>
      <c r="Z109" s="146"/>
      <c r="AA109" s="128"/>
      <c r="AB109" s="146"/>
      <c r="AC109" s="128"/>
      <c r="AD109" s="146"/>
      <c r="AE109" s="128"/>
      <c r="AF109" s="146"/>
      <c r="AG109" s="128"/>
      <c r="AH109" s="146"/>
      <c r="AI109" s="128"/>
      <c r="AJ109" s="146"/>
      <c r="AK109" s="128"/>
      <c r="AL109" s="146"/>
      <c r="AM109" s="128"/>
      <c r="AN109" s="146"/>
    </row>
    <row r="110" spans="1:40" s="121" customFormat="1" ht="15" customHeight="1">
      <c r="A110" s="122" t="s">
        <v>958</v>
      </c>
      <c r="B110" s="123" t="s">
        <v>745</v>
      </c>
      <c r="C110" s="124" t="s">
        <v>746</v>
      </c>
      <c r="D110" s="124">
        <v>8</v>
      </c>
      <c r="E110" s="128">
        <v>1500</v>
      </c>
      <c r="F110" s="146">
        <v>1680</v>
      </c>
      <c r="G110" s="128">
        <v>5610</v>
      </c>
      <c r="H110" s="146">
        <v>6330</v>
      </c>
      <c r="I110" s="128"/>
      <c r="J110" s="146"/>
      <c r="K110" s="128"/>
      <c r="L110" s="146"/>
      <c r="M110" s="128"/>
      <c r="N110" s="146"/>
      <c r="O110" s="128"/>
      <c r="P110" s="146"/>
      <c r="Q110" s="128"/>
      <c r="R110" s="146"/>
      <c r="S110" s="128"/>
      <c r="T110" s="146"/>
      <c r="U110" s="128"/>
      <c r="V110" s="146"/>
      <c r="W110" s="128"/>
      <c r="X110" s="146"/>
      <c r="Y110" s="128"/>
      <c r="Z110" s="146"/>
      <c r="AA110" s="128"/>
      <c r="AB110" s="146"/>
      <c r="AC110" s="128"/>
      <c r="AD110" s="146"/>
      <c r="AE110" s="128"/>
      <c r="AF110" s="146"/>
      <c r="AG110" s="128"/>
      <c r="AH110" s="146"/>
      <c r="AI110" s="128"/>
      <c r="AJ110" s="146"/>
      <c r="AK110" s="128"/>
      <c r="AL110" s="146"/>
      <c r="AM110" s="128"/>
      <c r="AN110" s="146"/>
    </row>
    <row r="111" spans="1:40" s="121" customFormat="1" ht="15" customHeight="1">
      <c r="A111" s="122" t="s">
        <v>958</v>
      </c>
      <c r="B111" s="123" t="s">
        <v>747</v>
      </c>
      <c r="C111" s="124" t="s">
        <v>748</v>
      </c>
      <c r="D111" s="124">
        <v>8</v>
      </c>
      <c r="E111" s="128">
        <v>1729</v>
      </c>
      <c r="F111" s="146">
        <v>1814</v>
      </c>
      <c r="G111" s="128">
        <v>6494</v>
      </c>
      <c r="H111" s="146">
        <v>6815</v>
      </c>
      <c r="I111" s="128"/>
      <c r="J111" s="146"/>
      <c r="K111" s="128"/>
      <c r="L111" s="146"/>
      <c r="M111" s="128"/>
      <c r="N111" s="146"/>
      <c r="O111" s="128"/>
      <c r="P111" s="146"/>
      <c r="Q111" s="128"/>
      <c r="R111" s="146"/>
      <c r="S111" s="128"/>
      <c r="T111" s="146"/>
      <c r="U111" s="128"/>
      <c r="V111" s="146"/>
      <c r="W111" s="128"/>
      <c r="X111" s="146"/>
      <c r="Y111" s="128"/>
      <c r="Z111" s="146"/>
      <c r="AA111" s="128"/>
      <c r="AB111" s="146"/>
      <c r="AC111" s="128"/>
      <c r="AD111" s="146"/>
      <c r="AE111" s="128"/>
      <c r="AF111" s="146"/>
      <c r="AG111" s="128"/>
      <c r="AH111" s="146"/>
      <c r="AI111" s="128"/>
      <c r="AJ111" s="146"/>
      <c r="AK111" s="128"/>
      <c r="AL111" s="146"/>
      <c r="AM111" s="128"/>
      <c r="AN111" s="146"/>
    </row>
    <row r="112" spans="1:40" s="121" customFormat="1" ht="15" customHeight="1">
      <c r="A112" s="122" t="s">
        <v>958</v>
      </c>
      <c r="B112" s="123" t="s">
        <v>749</v>
      </c>
      <c r="C112" s="124" t="s">
        <v>750</v>
      </c>
      <c r="D112" s="124">
        <v>9</v>
      </c>
      <c r="E112" s="128">
        <v>1727</v>
      </c>
      <c r="F112" s="146">
        <v>1812</v>
      </c>
      <c r="G112" s="128">
        <v>6467</v>
      </c>
      <c r="H112" s="146">
        <v>6784</v>
      </c>
      <c r="I112" s="128"/>
      <c r="J112" s="146"/>
      <c r="K112" s="128"/>
      <c r="L112" s="146"/>
      <c r="M112" s="128"/>
      <c r="N112" s="146"/>
      <c r="O112" s="128"/>
      <c r="P112" s="146"/>
      <c r="Q112" s="128"/>
      <c r="R112" s="146"/>
      <c r="S112" s="128"/>
      <c r="T112" s="146"/>
      <c r="U112" s="128"/>
      <c r="V112" s="146"/>
      <c r="W112" s="128"/>
      <c r="X112" s="146"/>
      <c r="Y112" s="128"/>
      <c r="Z112" s="146"/>
      <c r="AA112" s="128"/>
      <c r="AB112" s="146"/>
      <c r="AC112" s="128"/>
      <c r="AD112" s="146"/>
      <c r="AE112" s="128"/>
      <c r="AF112" s="146"/>
      <c r="AG112" s="128"/>
      <c r="AH112" s="146"/>
      <c r="AI112" s="128"/>
      <c r="AJ112" s="146"/>
      <c r="AK112" s="128"/>
      <c r="AL112" s="146"/>
      <c r="AM112" s="128"/>
      <c r="AN112" s="146"/>
    </row>
    <row r="113" spans="1:40" s="121" customFormat="1" ht="15" customHeight="1">
      <c r="A113" s="122" t="s">
        <v>958</v>
      </c>
      <c r="B113" s="123" t="s">
        <v>751</v>
      </c>
      <c r="C113" s="124" t="s">
        <v>752</v>
      </c>
      <c r="D113" s="124">
        <v>9</v>
      </c>
      <c r="E113" s="128">
        <v>1673</v>
      </c>
      <c r="F113" s="146">
        <v>1755</v>
      </c>
      <c r="G113" s="128">
        <v>6234</v>
      </c>
      <c r="H113" s="146">
        <v>6541</v>
      </c>
      <c r="I113" s="128"/>
      <c r="J113" s="146"/>
      <c r="K113" s="128"/>
      <c r="L113" s="146"/>
      <c r="M113" s="128"/>
      <c r="N113" s="146"/>
      <c r="O113" s="128"/>
      <c r="P113" s="146"/>
      <c r="Q113" s="128"/>
      <c r="R113" s="146"/>
      <c r="S113" s="128"/>
      <c r="T113" s="146"/>
      <c r="U113" s="128"/>
      <c r="V113" s="146"/>
      <c r="W113" s="128"/>
      <c r="X113" s="146"/>
      <c r="Y113" s="128"/>
      <c r="Z113" s="146"/>
      <c r="AA113" s="128"/>
      <c r="AB113" s="146"/>
      <c r="AC113" s="128"/>
      <c r="AD113" s="146"/>
      <c r="AE113" s="128"/>
      <c r="AF113" s="146"/>
      <c r="AG113" s="128"/>
      <c r="AH113" s="146"/>
      <c r="AI113" s="128"/>
      <c r="AJ113" s="146"/>
      <c r="AK113" s="128"/>
      <c r="AL113" s="146"/>
      <c r="AM113" s="128"/>
      <c r="AN113" s="146"/>
    </row>
    <row r="114" spans="1:40" s="121" customFormat="1" ht="15" customHeight="1">
      <c r="A114" s="122" t="s">
        <v>958</v>
      </c>
      <c r="B114" s="123" t="s">
        <v>765</v>
      </c>
      <c r="C114" s="124" t="s">
        <v>766</v>
      </c>
      <c r="D114" s="124">
        <v>9</v>
      </c>
      <c r="E114" s="128">
        <v>1667</v>
      </c>
      <c r="F114" s="146">
        <v>1740</v>
      </c>
      <c r="G114" s="128">
        <v>6302</v>
      </c>
      <c r="H114" s="146">
        <v>6599</v>
      </c>
      <c r="I114" s="128"/>
      <c r="J114" s="146"/>
      <c r="K114" s="128"/>
      <c r="L114" s="146"/>
      <c r="M114" s="128"/>
      <c r="N114" s="146"/>
      <c r="O114" s="128"/>
      <c r="P114" s="146"/>
      <c r="Q114" s="128"/>
      <c r="R114" s="146"/>
      <c r="S114" s="128"/>
      <c r="T114" s="146"/>
      <c r="U114" s="128"/>
      <c r="V114" s="146"/>
      <c r="W114" s="128"/>
      <c r="X114" s="146"/>
      <c r="Y114" s="128"/>
      <c r="Z114" s="146"/>
      <c r="AA114" s="128"/>
      <c r="AB114" s="146"/>
      <c r="AC114" s="128"/>
      <c r="AD114" s="146"/>
      <c r="AE114" s="128"/>
      <c r="AF114" s="146"/>
      <c r="AG114" s="128"/>
      <c r="AH114" s="146"/>
      <c r="AI114" s="128"/>
      <c r="AJ114" s="146"/>
      <c r="AK114" s="128"/>
      <c r="AL114" s="146"/>
      <c r="AM114" s="128"/>
      <c r="AN114" s="146"/>
    </row>
    <row r="115" spans="1:40" s="121" customFormat="1" ht="15" customHeight="1">
      <c r="A115" s="122" t="s">
        <v>958</v>
      </c>
      <c r="B115" s="123" t="s">
        <v>767</v>
      </c>
      <c r="C115" s="124" t="s">
        <v>768</v>
      </c>
      <c r="D115" s="124">
        <v>9</v>
      </c>
      <c r="E115" s="128">
        <v>1701</v>
      </c>
      <c r="F115" s="146">
        <v>1785</v>
      </c>
      <c r="G115" s="128">
        <v>6348</v>
      </c>
      <c r="H115" s="146">
        <v>6661</v>
      </c>
      <c r="I115" s="128"/>
      <c r="J115" s="146"/>
      <c r="K115" s="128"/>
      <c r="L115" s="146"/>
      <c r="M115" s="128"/>
      <c r="N115" s="146"/>
      <c r="O115" s="128"/>
      <c r="P115" s="146"/>
      <c r="Q115" s="128"/>
      <c r="R115" s="146"/>
      <c r="S115" s="128"/>
      <c r="T115" s="146"/>
      <c r="U115" s="128"/>
      <c r="V115" s="146"/>
      <c r="W115" s="128"/>
      <c r="X115" s="146"/>
      <c r="Y115" s="128"/>
      <c r="Z115" s="146"/>
      <c r="AA115" s="128"/>
      <c r="AB115" s="146"/>
      <c r="AC115" s="128"/>
      <c r="AD115" s="146"/>
      <c r="AE115" s="128"/>
      <c r="AF115" s="146"/>
      <c r="AG115" s="128"/>
      <c r="AH115" s="146"/>
      <c r="AI115" s="128"/>
      <c r="AJ115" s="146"/>
      <c r="AK115" s="128"/>
      <c r="AL115" s="146"/>
      <c r="AM115" s="128"/>
      <c r="AN115" s="146"/>
    </row>
    <row r="116" spans="1:40" s="121" customFormat="1" ht="15" customHeight="1">
      <c r="A116" s="122" t="s">
        <v>958</v>
      </c>
      <c r="B116" s="123" t="s">
        <v>394</v>
      </c>
      <c r="C116" s="124" t="s">
        <v>753</v>
      </c>
      <c r="D116" s="124">
        <v>9</v>
      </c>
      <c r="E116" s="128">
        <v>1454</v>
      </c>
      <c r="F116" s="146">
        <v>1527</v>
      </c>
      <c r="G116" s="128">
        <v>5607</v>
      </c>
      <c r="H116" s="146">
        <v>5890</v>
      </c>
      <c r="I116" s="128"/>
      <c r="J116" s="146"/>
      <c r="K116" s="128"/>
      <c r="L116" s="146"/>
      <c r="M116" s="128"/>
      <c r="N116" s="146"/>
      <c r="O116" s="128"/>
      <c r="P116" s="146"/>
      <c r="Q116" s="128"/>
      <c r="R116" s="146"/>
      <c r="S116" s="128"/>
      <c r="T116" s="146"/>
      <c r="U116" s="128"/>
      <c r="V116" s="146"/>
      <c r="W116" s="128"/>
      <c r="X116" s="146"/>
      <c r="Y116" s="128"/>
      <c r="Z116" s="146"/>
      <c r="AA116" s="128"/>
      <c r="AB116" s="146"/>
      <c r="AC116" s="128"/>
      <c r="AD116" s="146"/>
      <c r="AE116" s="128"/>
      <c r="AF116" s="146"/>
      <c r="AG116" s="128"/>
      <c r="AH116" s="146"/>
      <c r="AI116" s="128"/>
      <c r="AJ116" s="146"/>
      <c r="AK116" s="128"/>
      <c r="AL116" s="146"/>
      <c r="AM116" s="128"/>
      <c r="AN116" s="146"/>
    </row>
    <row r="117" spans="1:40" s="121" customFormat="1" ht="15" customHeight="1">
      <c r="A117" s="122" t="s">
        <v>958</v>
      </c>
      <c r="B117" s="123" t="s">
        <v>754</v>
      </c>
      <c r="C117" s="124" t="s">
        <v>755</v>
      </c>
      <c r="D117" s="124">
        <v>9</v>
      </c>
      <c r="E117" s="128">
        <v>1644</v>
      </c>
      <c r="F117" s="146">
        <v>1722</v>
      </c>
      <c r="G117" s="128">
        <v>6087</v>
      </c>
      <c r="H117" s="146">
        <v>6378</v>
      </c>
      <c r="I117" s="128"/>
      <c r="J117" s="146"/>
      <c r="K117" s="128"/>
      <c r="L117" s="146"/>
      <c r="M117" s="128"/>
      <c r="N117" s="146"/>
      <c r="O117" s="128"/>
      <c r="P117" s="146"/>
      <c r="Q117" s="128"/>
      <c r="R117" s="146"/>
      <c r="S117" s="128"/>
      <c r="T117" s="146"/>
      <c r="U117" s="128"/>
      <c r="V117" s="146"/>
      <c r="W117" s="128"/>
      <c r="X117" s="146"/>
      <c r="Y117" s="128"/>
      <c r="Z117" s="146"/>
      <c r="AA117" s="128"/>
      <c r="AB117" s="146"/>
      <c r="AC117" s="128"/>
      <c r="AD117" s="146"/>
      <c r="AE117" s="128"/>
      <c r="AF117" s="146"/>
      <c r="AG117" s="128"/>
      <c r="AH117" s="146"/>
      <c r="AI117" s="128"/>
      <c r="AJ117" s="146"/>
      <c r="AK117" s="128"/>
      <c r="AL117" s="146"/>
      <c r="AM117" s="128"/>
      <c r="AN117" s="146"/>
    </row>
    <row r="118" spans="1:40" s="121" customFormat="1" ht="15" customHeight="1">
      <c r="A118" s="122" t="s">
        <v>958</v>
      </c>
      <c r="B118" s="123" t="s">
        <v>756</v>
      </c>
      <c r="C118" s="124" t="s">
        <v>757</v>
      </c>
      <c r="D118" s="124">
        <v>9</v>
      </c>
      <c r="E118" s="128">
        <v>1673</v>
      </c>
      <c r="F118" s="146">
        <v>1755</v>
      </c>
      <c r="G118" s="128">
        <v>6234</v>
      </c>
      <c r="H118" s="146">
        <v>6541</v>
      </c>
      <c r="I118" s="128"/>
      <c r="J118" s="146"/>
      <c r="K118" s="128"/>
      <c r="L118" s="146"/>
      <c r="M118" s="128"/>
      <c r="N118" s="146"/>
      <c r="O118" s="128"/>
      <c r="P118" s="146"/>
      <c r="Q118" s="128"/>
      <c r="R118" s="146"/>
      <c r="S118" s="128"/>
      <c r="T118" s="146"/>
      <c r="U118" s="128"/>
      <c r="V118" s="146"/>
      <c r="W118" s="128"/>
      <c r="X118" s="146"/>
      <c r="Y118" s="128"/>
      <c r="Z118" s="146"/>
      <c r="AA118" s="128"/>
      <c r="AB118" s="146"/>
      <c r="AC118" s="128"/>
      <c r="AD118" s="146"/>
      <c r="AE118" s="128"/>
      <c r="AF118" s="146"/>
      <c r="AG118" s="128"/>
      <c r="AH118" s="146"/>
      <c r="AI118" s="128"/>
      <c r="AJ118" s="146"/>
      <c r="AK118" s="128"/>
      <c r="AL118" s="146"/>
      <c r="AM118" s="128"/>
      <c r="AN118" s="146"/>
    </row>
    <row r="119" spans="1:40" s="121" customFormat="1" ht="15" customHeight="1">
      <c r="A119" s="122" t="s">
        <v>958</v>
      </c>
      <c r="B119" s="123" t="s">
        <v>758</v>
      </c>
      <c r="C119" s="124" t="s">
        <v>759</v>
      </c>
      <c r="D119" s="124">
        <v>9</v>
      </c>
      <c r="E119" s="128">
        <v>1701</v>
      </c>
      <c r="F119" s="146">
        <v>1785</v>
      </c>
      <c r="G119" s="128">
        <v>6347</v>
      </c>
      <c r="H119" s="146">
        <v>6661</v>
      </c>
      <c r="I119" s="128"/>
      <c r="J119" s="146"/>
      <c r="K119" s="128"/>
      <c r="L119" s="146"/>
      <c r="M119" s="128"/>
      <c r="N119" s="146"/>
      <c r="O119" s="128"/>
      <c r="P119" s="146"/>
      <c r="Q119" s="128"/>
      <c r="R119" s="146"/>
      <c r="S119" s="128"/>
      <c r="T119" s="146"/>
      <c r="U119" s="128"/>
      <c r="V119" s="146"/>
      <c r="W119" s="128"/>
      <c r="X119" s="146"/>
      <c r="Y119" s="128"/>
      <c r="Z119" s="146"/>
      <c r="AA119" s="128"/>
      <c r="AB119" s="146"/>
      <c r="AC119" s="128"/>
      <c r="AD119" s="146"/>
      <c r="AE119" s="128"/>
      <c r="AF119" s="146"/>
      <c r="AG119" s="128"/>
      <c r="AH119" s="146"/>
      <c r="AI119" s="128"/>
      <c r="AJ119" s="146"/>
      <c r="AK119" s="128"/>
      <c r="AL119" s="146"/>
      <c r="AM119" s="128"/>
      <c r="AN119" s="146"/>
    </row>
    <row r="120" spans="1:40" s="121" customFormat="1" ht="15" customHeight="1">
      <c r="A120" s="122" t="s">
        <v>958</v>
      </c>
      <c r="B120" s="123" t="s">
        <v>760</v>
      </c>
      <c r="C120" s="124" t="s">
        <v>761</v>
      </c>
      <c r="D120" s="124">
        <v>9</v>
      </c>
      <c r="E120" s="128">
        <v>1694</v>
      </c>
      <c r="F120" s="146">
        <v>1855</v>
      </c>
      <c r="G120" s="128">
        <v>6348</v>
      </c>
      <c r="H120" s="146">
        <v>6954</v>
      </c>
      <c r="I120" s="128"/>
      <c r="J120" s="146"/>
      <c r="K120" s="128"/>
      <c r="L120" s="146"/>
      <c r="M120" s="128"/>
      <c r="N120" s="146"/>
      <c r="O120" s="128"/>
      <c r="P120" s="146"/>
      <c r="Q120" s="128"/>
      <c r="R120" s="146"/>
      <c r="S120" s="128"/>
      <c r="T120" s="146"/>
      <c r="U120" s="128"/>
      <c r="V120" s="146"/>
      <c r="W120" s="128"/>
      <c r="X120" s="146"/>
      <c r="Y120" s="128"/>
      <c r="Z120" s="146"/>
      <c r="AA120" s="128"/>
      <c r="AB120" s="146"/>
      <c r="AC120" s="128"/>
      <c r="AD120" s="146"/>
      <c r="AE120" s="128"/>
      <c r="AF120" s="146"/>
      <c r="AG120" s="128"/>
      <c r="AH120" s="146"/>
      <c r="AI120" s="128"/>
      <c r="AJ120" s="146"/>
      <c r="AK120" s="128"/>
      <c r="AL120" s="146"/>
      <c r="AM120" s="128"/>
      <c r="AN120" s="146"/>
    </row>
    <row r="121" spans="1:40" s="121" customFormat="1" ht="15" customHeight="1">
      <c r="A121" s="122" t="s">
        <v>958</v>
      </c>
      <c r="B121" s="123" t="s">
        <v>395</v>
      </c>
      <c r="C121" s="124" t="s">
        <v>762</v>
      </c>
      <c r="D121" s="124">
        <v>10</v>
      </c>
      <c r="E121" s="128">
        <v>1695</v>
      </c>
      <c r="F121" s="146">
        <v>1770</v>
      </c>
      <c r="G121" s="128">
        <v>5265</v>
      </c>
      <c r="H121" s="146">
        <v>5430</v>
      </c>
      <c r="I121" s="128"/>
      <c r="J121" s="146"/>
      <c r="K121" s="128"/>
      <c r="L121" s="146"/>
      <c r="M121" s="128"/>
      <c r="N121" s="146"/>
      <c r="O121" s="128"/>
      <c r="P121" s="146"/>
      <c r="Q121" s="128"/>
      <c r="R121" s="146"/>
      <c r="S121" s="128"/>
      <c r="T121" s="146"/>
      <c r="U121" s="128"/>
      <c r="V121" s="146"/>
      <c r="W121" s="128"/>
      <c r="X121" s="146"/>
      <c r="Y121" s="128"/>
      <c r="Z121" s="146"/>
      <c r="AA121" s="128"/>
      <c r="AB121" s="146"/>
      <c r="AC121" s="128"/>
      <c r="AD121" s="146"/>
      <c r="AE121" s="128"/>
      <c r="AF121" s="146"/>
      <c r="AG121" s="128"/>
      <c r="AH121" s="146"/>
      <c r="AI121" s="128"/>
      <c r="AJ121" s="146"/>
      <c r="AK121" s="128"/>
      <c r="AL121" s="146"/>
      <c r="AM121" s="128"/>
      <c r="AN121" s="146"/>
    </row>
    <row r="122" spans="1:40" s="121" customFormat="1" ht="15" customHeight="1">
      <c r="A122" s="122" t="s">
        <v>958</v>
      </c>
      <c r="B122" s="123" t="s">
        <v>763</v>
      </c>
      <c r="C122" s="124" t="s">
        <v>764</v>
      </c>
      <c r="D122" s="124">
        <v>10</v>
      </c>
      <c r="E122" s="128">
        <v>1766</v>
      </c>
      <c r="F122" s="146">
        <v>1850</v>
      </c>
      <c r="G122" s="128">
        <v>6611</v>
      </c>
      <c r="H122" s="146">
        <v>6929</v>
      </c>
      <c r="I122" s="128"/>
      <c r="J122" s="146"/>
      <c r="K122" s="128"/>
      <c r="L122" s="146"/>
      <c r="M122" s="128"/>
      <c r="N122" s="146"/>
      <c r="O122" s="128"/>
      <c r="P122" s="146"/>
      <c r="Q122" s="128"/>
      <c r="R122" s="146"/>
      <c r="S122" s="128"/>
      <c r="T122" s="146"/>
      <c r="U122" s="128"/>
      <c r="V122" s="146"/>
      <c r="W122" s="128"/>
      <c r="X122" s="146"/>
      <c r="Y122" s="128"/>
      <c r="Z122" s="146"/>
      <c r="AA122" s="128"/>
      <c r="AB122" s="146"/>
      <c r="AC122" s="128"/>
      <c r="AD122" s="146"/>
      <c r="AE122" s="128"/>
      <c r="AF122" s="146"/>
      <c r="AG122" s="128"/>
      <c r="AH122" s="146"/>
      <c r="AI122" s="128"/>
      <c r="AJ122" s="146"/>
      <c r="AK122" s="128"/>
      <c r="AL122" s="146"/>
      <c r="AM122" s="128"/>
      <c r="AN122" s="146"/>
    </row>
    <row r="123" spans="1:40" s="121" customFormat="1" ht="15" customHeight="1">
      <c r="A123" s="122" t="s">
        <v>958</v>
      </c>
      <c r="B123" s="123" t="s">
        <v>769</v>
      </c>
      <c r="C123" s="124" t="s">
        <v>770</v>
      </c>
      <c r="D123" s="124">
        <v>10</v>
      </c>
      <c r="E123" s="128">
        <v>1671</v>
      </c>
      <c r="F123" s="146">
        <v>1740</v>
      </c>
      <c r="G123" s="128">
        <v>6141</v>
      </c>
      <c r="H123" s="146">
        <v>6390</v>
      </c>
      <c r="I123" s="128"/>
      <c r="J123" s="146"/>
      <c r="K123" s="128"/>
      <c r="L123" s="146"/>
      <c r="M123" s="128"/>
      <c r="N123" s="146"/>
      <c r="O123" s="128"/>
      <c r="P123" s="146"/>
      <c r="Q123" s="128"/>
      <c r="R123" s="146"/>
      <c r="S123" s="128"/>
      <c r="T123" s="146"/>
      <c r="U123" s="128"/>
      <c r="V123" s="146"/>
      <c r="W123" s="128"/>
      <c r="X123" s="146"/>
      <c r="Y123" s="128"/>
      <c r="Z123" s="146"/>
      <c r="AA123" s="128"/>
      <c r="AB123" s="146"/>
      <c r="AC123" s="128"/>
      <c r="AD123" s="146"/>
      <c r="AE123" s="128"/>
      <c r="AF123" s="146"/>
      <c r="AG123" s="128"/>
      <c r="AH123" s="146"/>
      <c r="AI123" s="128"/>
      <c r="AJ123" s="146"/>
      <c r="AK123" s="128"/>
      <c r="AL123" s="146"/>
      <c r="AM123" s="128"/>
      <c r="AN123" s="146"/>
    </row>
    <row r="124" spans="1:40" s="121" customFormat="1" ht="15" customHeight="1">
      <c r="A124" s="129" t="s">
        <v>399</v>
      </c>
      <c r="B124" s="130" t="s">
        <v>792</v>
      </c>
      <c r="C124" s="131">
        <v>139940</v>
      </c>
      <c r="D124" s="131">
        <v>1</v>
      </c>
      <c r="E124" s="128">
        <f>+(1604*2)+(356*2)</f>
        <v>3920</v>
      </c>
      <c r="F124" s="146">
        <f>+(1684*2)+(393*2)</f>
        <v>4154</v>
      </c>
      <c r="G124" s="128">
        <f>+(6416*2)+(356*2)</f>
        <v>13544</v>
      </c>
      <c r="H124" s="146">
        <f>+(6737*2)+(393*2)</f>
        <v>14260</v>
      </c>
      <c r="I124" s="128">
        <f>+(1925*2)+(356*2)</f>
        <v>4562</v>
      </c>
      <c r="J124" s="146">
        <f>+(2022*2)+(393*2)</f>
        <v>4830</v>
      </c>
      <c r="K124" s="128">
        <f>+(7700*2)+(356*2)</f>
        <v>16112</v>
      </c>
      <c r="L124" s="366">
        <v>16956</v>
      </c>
      <c r="M124" s="128">
        <f>(2253*2)+(356*2)</f>
        <v>5218</v>
      </c>
      <c r="N124" s="146">
        <f>+(2606*2)+(393*2)</f>
        <v>5998</v>
      </c>
      <c r="O124" s="128">
        <f>(9012*2)+(356*2)</f>
        <v>18736</v>
      </c>
      <c r="P124" s="146">
        <f>+(9703*2)+(393*2)</f>
        <v>20192</v>
      </c>
      <c r="Q124" s="128"/>
      <c r="R124" s="146"/>
      <c r="S124" s="128"/>
      <c r="T124" s="146"/>
      <c r="U124" s="128"/>
      <c r="V124" s="146"/>
      <c r="W124" s="128"/>
      <c r="X124" s="146"/>
      <c r="Y124" s="128"/>
      <c r="Z124" s="146"/>
      <c r="AA124" s="128"/>
      <c r="AB124" s="146"/>
      <c r="AC124" s="128"/>
      <c r="AD124" s="146"/>
      <c r="AE124" s="128"/>
      <c r="AF124" s="146"/>
      <c r="AG124" s="128"/>
      <c r="AH124" s="146"/>
      <c r="AI124" s="128"/>
      <c r="AJ124" s="146"/>
      <c r="AK124" s="128"/>
      <c r="AL124" s="146"/>
      <c r="AM124" s="128"/>
      <c r="AN124" s="146"/>
    </row>
    <row r="125" spans="1:40" s="121" customFormat="1" ht="15" customHeight="1">
      <c r="A125" s="129" t="s">
        <v>399</v>
      </c>
      <c r="B125" s="130" t="s">
        <v>793</v>
      </c>
      <c r="C125" s="131">
        <v>139959</v>
      </c>
      <c r="D125" s="131">
        <v>1</v>
      </c>
      <c r="E125" s="128">
        <f>(1604*2)+(435*2)</f>
        <v>4078</v>
      </c>
      <c r="F125" s="146">
        <f>(1684*2)+(452*2)</f>
        <v>4272</v>
      </c>
      <c r="G125" s="128">
        <f>(6992*2)+(435*2)</f>
        <v>14854</v>
      </c>
      <c r="H125" s="146">
        <f>(7342*2)+(452*2)</f>
        <v>15588</v>
      </c>
      <c r="I125" s="128">
        <f>(1925*2)+(435*2)</f>
        <v>4720</v>
      </c>
      <c r="J125" s="146">
        <f>(2022*2)+(452*2)</f>
        <v>4948</v>
      </c>
      <c r="K125" s="128">
        <f>(8275*2)+(435*2)</f>
        <v>17420</v>
      </c>
      <c r="L125" s="146">
        <f>(8689*2)+(452*2)</f>
        <v>18282</v>
      </c>
      <c r="M125" s="128">
        <f>(3130*2)+(435*2)</f>
        <v>7130</v>
      </c>
      <c r="N125" s="146">
        <f>(3537*2)+(452*2)</f>
        <v>7978</v>
      </c>
      <c r="O125" s="128">
        <f>(11514*2)+(435*2)</f>
        <v>23898</v>
      </c>
      <c r="P125" s="146">
        <f>(12090*2)+(452*2)</f>
        <v>25084</v>
      </c>
      <c r="Q125" s="128"/>
      <c r="R125" s="146"/>
      <c r="S125" s="128"/>
      <c r="T125" s="146"/>
      <c r="U125" s="128"/>
      <c r="V125" s="146"/>
      <c r="W125" s="128"/>
      <c r="X125" s="146"/>
      <c r="Y125" s="128">
        <f>(2*435)+(3108*2)</f>
        <v>7086</v>
      </c>
      <c r="Z125" s="146">
        <f>(2*452)+(3388*2)</f>
        <v>7680</v>
      </c>
      <c r="AA125" s="128">
        <f>(435*2)+(11330*2)</f>
        <v>23530</v>
      </c>
      <c r="AB125" s="146">
        <f>(2*452)+(11897*2)</f>
        <v>24698</v>
      </c>
      <c r="AC125" s="128"/>
      <c r="AD125" s="146"/>
      <c r="AE125" s="128"/>
      <c r="AF125" s="146"/>
      <c r="AG125" s="128"/>
      <c r="AH125" s="146"/>
      <c r="AI125" s="128"/>
      <c r="AJ125" s="146"/>
      <c r="AK125" s="128">
        <f>(2*435)+(4258*2)</f>
        <v>9386</v>
      </c>
      <c r="AL125" s="146">
        <f>(2*452)+(4646*2)</f>
        <v>10196</v>
      </c>
      <c r="AM125" s="128"/>
      <c r="AN125" s="146"/>
    </row>
    <row r="126" spans="1:40" s="121" customFormat="1" ht="15" customHeight="1">
      <c r="A126" s="129" t="s">
        <v>399</v>
      </c>
      <c r="B126" s="130" t="s">
        <v>794</v>
      </c>
      <c r="C126" s="131">
        <v>139755</v>
      </c>
      <c r="D126" s="131">
        <v>2</v>
      </c>
      <c r="E126" s="128">
        <f>(1604*2)+(434*2)</f>
        <v>4076</v>
      </c>
      <c r="F126" s="146">
        <f>(1684*2)+(455*2)</f>
        <v>4278</v>
      </c>
      <c r="G126" s="128">
        <f>(7567*2)+(434*2)</f>
        <v>16002</v>
      </c>
      <c r="H126" s="146">
        <f>(8324*2)+(455*2)</f>
        <v>17558</v>
      </c>
      <c r="I126" s="128">
        <f>(1925*2)+(434*2)</f>
        <v>4718</v>
      </c>
      <c r="J126" s="146">
        <f>(2022*2)+(455*2)</f>
        <v>4954</v>
      </c>
      <c r="K126" s="128">
        <f>(7700*2)+(434*2)</f>
        <v>16268</v>
      </c>
      <c r="L126" s="146">
        <f>(8470*2)+(455*2)</f>
        <v>17850</v>
      </c>
      <c r="M126" s="128"/>
      <c r="N126" s="146"/>
      <c r="O126" s="128"/>
      <c r="P126" s="146"/>
      <c r="Q126" s="128"/>
      <c r="R126" s="146"/>
      <c r="S126" s="128"/>
      <c r="T126" s="146"/>
      <c r="U126" s="128"/>
      <c r="V126" s="146"/>
      <c r="W126" s="128"/>
      <c r="X126" s="146"/>
      <c r="Y126" s="128"/>
      <c r="Z126" s="146"/>
      <c r="AA126" s="128"/>
      <c r="AB126" s="146"/>
      <c r="AC126" s="128"/>
      <c r="AD126" s="146"/>
      <c r="AE126" s="128"/>
      <c r="AF126" s="146"/>
      <c r="AG126" s="128"/>
      <c r="AH126" s="146"/>
      <c r="AI126" s="128"/>
      <c r="AJ126" s="146"/>
      <c r="AK126" s="128"/>
      <c r="AL126" s="146"/>
      <c r="AM126" s="128"/>
      <c r="AN126" s="146"/>
    </row>
    <row r="127" spans="1:40" s="121" customFormat="1" ht="15" customHeight="1">
      <c r="A127" s="129" t="s">
        <v>399</v>
      </c>
      <c r="B127" s="130" t="s">
        <v>795</v>
      </c>
      <c r="C127" s="131">
        <v>139931</v>
      </c>
      <c r="D127" s="131">
        <v>3</v>
      </c>
      <c r="E127" s="128">
        <f>(350*2)+(1106*2)</f>
        <v>2912</v>
      </c>
      <c r="F127" s="146">
        <f>(435*2)+(1161*2)</f>
        <v>3192</v>
      </c>
      <c r="G127" s="128">
        <f>(350*2)+(4424*2)</f>
        <v>9548</v>
      </c>
      <c r="H127" s="146">
        <f>(435*2)+(4645*2)</f>
        <v>10160</v>
      </c>
      <c r="I127" s="128">
        <f>(350*2)+(1327*2)</f>
        <v>3354</v>
      </c>
      <c r="J127" s="146">
        <f>(435*2)+(1393*2)</f>
        <v>3656</v>
      </c>
      <c r="K127" s="128">
        <f>(350*2)+(5308*2)</f>
        <v>11316</v>
      </c>
      <c r="L127" s="146">
        <f>(435*2)+(5573*2)</f>
        <v>12016</v>
      </c>
      <c r="M127" s="128"/>
      <c r="N127" s="146"/>
      <c r="O127" s="128"/>
      <c r="P127" s="146"/>
      <c r="Q127" s="128"/>
      <c r="R127" s="146"/>
      <c r="S127" s="128"/>
      <c r="T127" s="146"/>
      <c r="U127" s="128"/>
      <c r="V127" s="146"/>
      <c r="W127" s="128"/>
      <c r="X127" s="146"/>
      <c r="Y127" s="128"/>
      <c r="Z127" s="146"/>
      <c r="AA127" s="128"/>
      <c r="AB127" s="146"/>
      <c r="AC127" s="128"/>
      <c r="AD127" s="146"/>
      <c r="AE127" s="128"/>
      <c r="AF127" s="146"/>
      <c r="AG127" s="128"/>
      <c r="AH127" s="146"/>
      <c r="AI127" s="128"/>
      <c r="AJ127" s="146"/>
      <c r="AK127" s="128"/>
      <c r="AL127" s="146"/>
      <c r="AM127" s="128"/>
      <c r="AN127" s="146"/>
    </row>
    <row r="128" spans="1:40" s="121" customFormat="1" ht="15" customHeight="1">
      <c r="A128" s="129" t="s">
        <v>399</v>
      </c>
      <c r="B128" s="130" t="s">
        <v>1110</v>
      </c>
      <c r="C128" s="131">
        <v>141334</v>
      </c>
      <c r="D128" s="131">
        <v>3</v>
      </c>
      <c r="E128" s="128">
        <f>(281*2)+(1106*2)</f>
        <v>2774</v>
      </c>
      <c r="F128" s="146">
        <f>(292*2)+(1161*2)</f>
        <v>2906</v>
      </c>
      <c r="G128" s="128">
        <f>(281*2)+(4424*2)</f>
        <v>9410</v>
      </c>
      <c r="H128" s="146">
        <f>(292*2)+(4645*2)</f>
        <v>9874</v>
      </c>
      <c r="I128" s="128">
        <f>(281*2)+(1327*2)</f>
        <v>3216</v>
      </c>
      <c r="J128" s="146">
        <f>(292*2)+(1393*2)</f>
        <v>3370</v>
      </c>
      <c r="K128" s="128">
        <f>(281*2)+(5308*2)</f>
        <v>11178</v>
      </c>
      <c r="L128" s="146">
        <f>(292*2)+(5573*2)</f>
        <v>11730</v>
      </c>
      <c r="M128" s="128"/>
      <c r="N128" s="146"/>
      <c r="O128" s="128"/>
      <c r="P128" s="146"/>
      <c r="Q128" s="128"/>
      <c r="R128" s="146"/>
      <c r="S128" s="128"/>
      <c r="T128" s="146"/>
      <c r="U128" s="128"/>
      <c r="V128" s="146"/>
      <c r="W128" s="128"/>
      <c r="X128" s="146"/>
      <c r="Y128" s="128"/>
      <c r="Z128" s="146"/>
      <c r="AA128" s="128"/>
      <c r="AB128" s="146"/>
      <c r="AC128" s="128"/>
      <c r="AD128" s="146"/>
      <c r="AE128" s="128"/>
      <c r="AF128" s="146"/>
      <c r="AG128" s="128"/>
      <c r="AH128" s="146"/>
      <c r="AI128" s="128"/>
      <c r="AJ128" s="146"/>
      <c r="AK128" s="128"/>
      <c r="AL128" s="146"/>
      <c r="AM128" s="128"/>
      <c r="AN128" s="146"/>
    </row>
    <row r="129" spans="1:40" s="121" customFormat="1" ht="15" customHeight="1">
      <c r="A129" s="129" t="s">
        <v>399</v>
      </c>
      <c r="B129" s="130" t="s">
        <v>796</v>
      </c>
      <c r="C129" s="131">
        <v>138716</v>
      </c>
      <c r="D129" s="131">
        <v>4</v>
      </c>
      <c r="E129" s="128">
        <f>(281*2)+(1106*2)</f>
        <v>2774</v>
      </c>
      <c r="F129" s="146">
        <f>(287*2)+(1161*2)</f>
        <v>2896</v>
      </c>
      <c r="G129" s="128">
        <f>(281*2)+(4424*2)</f>
        <v>9410</v>
      </c>
      <c r="H129" s="146">
        <f>(287*2)+(4645*2)</f>
        <v>9864</v>
      </c>
      <c r="I129" s="128">
        <f>(281*2)+(1327*2)</f>
        <v>3216</v>
      </c>
      <c r="J129" s="146">
        <f>(287*2)+(1393*2)</f>
        <v>3360</v>
      </c>
      <c r="K129" s="128">
        <f>(281*2)+(5308*2)</f>
        <v>11178</v>
      </c>
      <c r="L129" s="146">
        <f>(287*2)+(5573*2)</f>
        <v>11720</v>
      </c>
      <c r="M129" s="128"/>
      <c r="N129" s="146"/>
      <c r="O129" s="128"/>
      <c r="P129" s="146"/>
      <c r="Q129" s="128"/>
      <c r="R129" s="146"/>
      <c r="S129" s="128"/>
      <c r="T129" s="146"/>
      <c r="U129" s="128"/>
      <c r="V129" s="146"/>
      <c r="W129" s="128"/>
      <c r="X129" s="146"/>
      <c r="Y129" s="128"/>
      <c r="Z129" s="146"/>
      <c r="AA129" s="128"/>
      <c r="AB129" s="146"/>
      <c r="AC129" s="128"/>
      <c r="AD129" s="146"/>
      <c r="AE129" s="128"/>
      <c r="AF129" s="146"/>
      <c r="AG129" s="128"/>
      <c r="AH129" s="146"/>
      <c r="AI129" s="128"/>
      <c r="AJ129" s="146"/>
      <c r="AK129" s="128"/>
      <c r="AL129" s="146"/>
      <c r="AM129" s="128"/>
      <c r="AN129" s="146"/>
    </row>
    <row r="130" spans="1:40" s="121" customFormat="1" ht="15" customHeight="1">
      <c r="A130" s="129" t="s">
        <v>399</v>
      </c>
      <c r="B130" s="130" t="s">
        <v>801</v>
      </c>
      <c r="C130" s="131">
        <v>138789</v>
      </c>
      <c r="D130" s="131">
        <v>4</v>
      </c>
      <c r="E130" s="128">
        <f>(195*2)+(1106*2)</f>
        <v>2602</v>
      </c>
      <c r="F130" s="146">
        <f>(236*2)+(1161*2)</f>
        <v>2794</v>
      </c>
      <c r="G130" s="128">
        <f>(195*2)+(4424*2)</f>
        <v>9238</v>
      </c>
      <c r="H130" s="146">
        <f>(236*2)+(4645*2)</f>
        <v>9762</v>
      </c>
      <c r="I130" s="128">
        <f>(195*2)+(1327*2)</f>
        <v>3044</v>
      </c>
      <c r="J130" s="146">
        <f>(236*2)+(1393*2)</f>
        <v>3258</v>
      </c>
      <c r="K130" s="128">
        <f>(195*2)+(5308*2)</f>
        <v>11006</v>
      </c>
      <c r="L130" s="146">
        <f>(236*2)+(5573*2)</f>
        <v>11618</v>
      </c>
      <c r="M130" s="128"/>
      <c r="N130" s="146"/>
      <c r="O130" s="128"/>
      <c r="P130" s="146"/>
      <c r="Q130" s="128"/>
      <c r="R130" s="146"/>
      <c r="S130" s="128"/>
      <c r="T130" s="146"/>
      <c r="U130" s="128"/>
      <c r="V130" s="146"/>
      <c r="W130" s="128"/>
      <c r="X130" s="146"/>
      <c r="Y130" s="128"/>
      <c r="Z130" s="146"/>
      <c r="AA130" s="128"/>
      <c r="AB130" s="146"/>
      <c r="AC130" s="128"/>
      <c r="AD130" s="146"/>
      <c r="AE130" s="128"/>
      <c r="AF130" s="146"/>
      <c r="AG130" s="128"/>
      <c r="AH130" s="146"/>
      <c r="AI130" s="128"/>
      <c r="AJ130" s="146"/>
      <c r="AK130" s="128"/>
      <c r="AL130" s="146"/>
      <c r="AM130" s="128"/>
      <c r="AN130" s="146"/>
    </row>
    <row r="131" spans="1:40" s="121" customFormat="1" ht="15" customHeight="1">
      <c r="A131" s="129" t="s">
        <v>399</v>
      </c>
      <c r="B131" s="130" t="s">
        <v>797</v>
      </c>
      <c r="C131" s="131">
        <v>139366</v>
      </c>
      <c r="D131" s="131">
        <v>4</v>
      </c>
      <c r="E131" s="128">
        <f>(232*2)+(1106*2)</f>
        <v>2676</v>
      </c>
      <c r="F131" s="146">
        <f>(243*2)+(1161*2)</f>
        <v>2808</v>
      </c>
      <c r="G131" s="128">
        <f>(232*2)+(4424*2)</f>
        <v>9312</v>
      </c>
      <c r="H131" s="146">
        <f>(243*2)+(4645*2)</f>
        <v>9776</v>
      </c>
      <c r="I131" s="128">
        <f>(232*2)+(1327*2)</f>
        <v>3118</v>
      </c>
      <c r="J131" s="146">
        <f>(243*2)+(1393*2)</f>
        <v>3272</v>
      </c>
      <c r="K131" s="128">
        <f>(232*2)+(5308*2)</f>
        <v>11080</v>
      </c>
      <c r="L131" s="146">
        <f>(243*2)+(5573*2)</f>
        <v>11632</v>
      </c>
      <c r="M131" s="128"/>
      <c r="N131" s="146"/>
      <c r="O131" s="128"/>
      <c r="P131" s="146"/>
      <c r="Q131" s="128"/>
      <c r="R131" s="146"/>
      <c r="S131" s="128"/>
      <c r="T131" s="146"/>
      <c r="U131" s="128"/>
      <c r="V131" s="146"/>
      <c r="W131" s="128"/>
      <c r="X131" s="146"/>
      <c r="Y131" s="128"/>
      <c r="Z131" s="146"/>
      <c r="AA131" s="128"/>
      <c r="AB131" s="146"/>
      <c r="AC131" s="128"/>
      <c r="AD131" s="146"/>
      <c r="AE131" s="128"/>
      <c r="AF131" s="146"/>
      <c r="AG131" s="128"/>
      <c r="AH131" s="146"/>
      <c r="AI131" s="128"/>
      <c r="AJ131" s="146"/>
      <c r="AK131" s="128"/>
      <c r="AL131" s="146"/>
      <c r="AM131" s="128"/>
      <c r="AN131" s="146"/>
    </row>
    <row r="132" spans="1:40" s="121" customFormat="1" ht="15" customHeight="1">
      <c r="A132" s="129" t="s">
        <v>399</v>
      </c>
      <c r="B132" s="130" t="s">
        <v>798</v>
      </c>
      <c r="C132" s="131">
        <v>139861</v>
      </c>
      <c r="D132" s="131">
        <v>4</v>
      </c>
      <c r="E132" s="128">
        <f>(297*2)+(1501*2)</f>
        <v>3596</v>
      </c>
      <c r="F132" s="146">
        <f>(355*2)+(1576*2)</f>
        <v>3862</v>
      </c>
      <c r="G132" s="128">
        <f>(297*2)+(6004*2)</f>
        <v>12602</v>
      </c>
      <c r="H132" s="146">
        <f>(355*2)+(6304*2)</f>
        <v>13318</v>
      </c>
      <c r="I132" s="128">
        <f>(297*2)+(1801*2)</f>
        <v>4196</v>
      </c>
      <c r="J132" s="146">
        <f>(355*2)+(1891*2)</f>
        <v>4492</v>
      </c>
      <c r="K132" s="128">
        <f>(297*2)+(7204*2)</f>
        <v>15002</v>
      </c>
      <c r="L132" s="146">
        <f>(355*2)+(7564*2)</f>
        <v>15838</v>
      </c>
      <c r="M132" s="128"/>
      <c r="N132" s="146"/>
      <c r="O132" s="128"/>
      <c r="P132" s="146"/>
      <c r="Q132" s="128"/>
      <c r="R132" s="146"/>
      <c r="S132" s="128"/>
      <c r="T132" s="146"/>
      <c r="U132" s="128"/>
      <c r="V132" s="146"/>
      <c r="W132" s="128"/>
      <c r="X132" s="146"/>
      <c r="Y132" s="128"/>
      <c r="Z132" s="146"/>
      <c r="AA132" s="128"/>
      <c r="AB132" s="146"/>
      <c r="AC132" s="128"/>
      <c r="AD132" s="146"/>
      <c r="AE132" s="128"/>
      <c r="AF132" s="146"/>
      <c r="AG132" s="128"/>
      <c r="AH132" s="146"/>
      <c r="AI132" s="128"/>
      <c r="AJ132" s="146"/>
      <c r="AK132" s="128"/>
      <c r="AL132" s="146"/>
      <c r="AM132" s="128"/>
      <c r="AN132" s="146"/>
    </row>
    <row r="133" spans="1:40" s="121" customFormat="1" ht="15" customHeight="1">
      <c r="A133" s="129" t="s">
        <v>399</v>
      </c>
      <c r="B133" s="130" t="s">
        <v>799</v>
      </c>
      <c r="C133" s="131">
        <v>140164</v>
      </c>
      <c r="D133" s="131">
        <v>4</v>
      </c>
      <c r="E133" s="128">
        <f>(283*2)+(1106*2)</f>
        <v>2778</v>
      </c>
      <c r="F133" s="146">
        <f>(288*2)+(1161*2)</f>
        <v>2898</v>
      </c>
      <c r="G133" s="128">
        <f>(283*2)+(4424*2)</f>
        <v>9414</v>
      </c>
      <c r="H133" s="146">
        <f>(288*2)+(4645*2)</f>
        <v>9866</v>
      </c>
      <c r="I133" s="128">
        <f>(283*2)+(1327*2)</f>
        <v>3220</v>
      </c>
      <c r="J133" s="146">
        <f>(288*2)+(1393*2)</f>
        <v>3362</v>
      </c>
      <c r="K133" s="128">
        <f>(283*2)+(5308*2)</f>
        <v>11182</v>
      </c>
      <c r="L133" s="146">
        <f>(288*2)+(5573*2)</f>
        <v>11722</v>
      </c>
      <c r="M133" s="128"/>
      <c r="N133" s="146"/>
      <c r="O133" s="128"/>
      <c r="P133" s="146"/>
      <c r="Q133" s="128"/>
      <c r="R133" s="146"/>
      <c r="S133" s="128"/>
      <c r="T133" s="146"/>
      <c r="U133" s="128"/>
      <c r="V133" s="146"/>
      <c r="W133" s="128"/>
      <c r="X133" s="146"/>
      <c r="Y133" s="128"/>
      <c r="Z133" s="146"/>
      <c r="AA133" s="128"/>
      <c r="AB133" s="146"/>
      <c r="AC133" s="128"/>
      <c r="AD133" s="146"/>
      <c r="AE133" s="128"/>
      <c r="AF133" s="146"/>
      <c r="AG133" s="128"/>
      <c r="AH133" s="146"/>
      <c r="AI133" s="128"/>
      <c r="AJ133" s="146"/>
      <c r="AK133" s="128"/>
      <c r="AL133" s="146"/>
      <c r="AM133" s="128"/>
      <c r="AN133" s="146"/>
    </row>
    <row r="134" spans="1:40" s="121" customFormat="1" ht="15" customHeight="1">
      <c r="A134" s="129" t="s">
        <v>399</v>
      </c>
      <c r="B134" s="130" t="s">
        <v>800</v>
      </c>
      <c r="C134" s="131">
        <v>141264</v>
      </c>
      <c r="D134" s="131">
        <v>4</v>
      </c>
      <c r="E134" s="128">
        <f>(324*2)+(1106*2)</f>
        <v>2860</v>
      </c>
      <c r="F134" s="146">
        <f>(335*2)+(1161*2)</f>
        <v>2992</v>
      </c>
      <c r="G134" s="128">
        <f>(324*2)+(4424*2)</f>
        <v>9496</v>
      </c>
      <c r="H134" s="146">
        <f>(335*2)+(4645*2)</f>
        <v>9960</v>
      </c>
      <c r="I134" s="128">
        <f>(324*2)+(1327*2)</f>
        <v>3302</v>
      </c>
      <c r="J134" s="146">
        <f>(335*2)+(1393*2)</f>
        <v>3456</v>
      </c>
      <c r="K134" s="128">
        <f>(324*2)+(5308*2)</f>
        <v>11264</v>
      </c>
      <c r="L134" s="146">
        <f>(335*2)+(5573*2)</f>
        <v>11816</v>
      </c>
      <c r="M134" s="128"/>
      <c r="N134" s="146"/>
      <c r="O134" s="128"/>
      <c r="P134" s="146"/>
      <c r="Q134" s="128"/>
      <c r="R134" s="146"/>
      <c r="S134" s="128"/>
      <c r="T134" s="146"/>
      <c r="U134" s="128"/>
      <c r="V134" s="146"/>
      <c r="W134" s="128"/>
      <c r="X134" s="146"/>
      <c r="Y134" s="128"/>
      <c r="Z134" s="146"/>
      <c r="AA134" s="128"/>
      <c r="AB134" s="146"/>
      <c r="AC134" s="128"/>
      <c r="AD134" s="146"/>
      <c r="AE134" s="128"/>
      <c r="AF134" s="146"/>
      <c r="AG134" s="128"/>
      <c r="AH134" s="146"/>
      <c r="AI134" s="128"/>
      <c r="AJ134" s="146"/>
      <c r="AK134" s="128"/>
      <c r="AL134" s="146"/>
      <c r="AM134" s="128"/>
      <c r="AN134" s="146"/>
    </row>
    <row r="135" spans="1:40" s="121" customFormat="1" ht="15" customHeight="1">
      <c r="A135" s="129" t="s">
        <v>399</v>
      </c>
      <c r="B135" s="130" t="s">
        <v>802</v>
      </c>
      <c r="C135" s="131">
        <v>138983</v>
      </c>
      <c r="D135" s="131">
        <v>5</v>
      </c>
      <c r="E135" s="128">
        <f>(190*2)+(1106*2)</f>
        <v>2592</v>
      </c>
      <c r="F135" s="146">
        <f>(235*2)+(1161*2)</f>
        <v>2792</v>
      </c>
      <c r="G135" s="128">
        <f>(190*2)+(4424*2)</f>
        <v>9228</v>
      </c>
      <c r="H135" s="146">
        <f>(235*2)+(4645*2)</f>
        <v>9760</v>
      </c>
      <c r="I135" s="128">
        <f>(190*2)+(1327*2)</f>
        <v>3034</v>
      </c>
      <c r="J135" s="146">
        <f>(235*2)+(1393*2)</f>
        <v>3256</v>
      </c>
      <c r="K135" s="128">
        <f>(190*2)+(5308*2)</f>
        <v>10996</v>
      </c>
      <c r="L135" s="146">
        <f>(235*2)+(5573*2)</f>
        <v>11616</v>
      </c>
      <c r="M135" s="128"/>
      <c r="N135" s="146"/>
      <c r="O135" s="128"/>
      <c r="P135" s="146"/>
      <c r="Q135" s="128"/>
      <c r="R135" s="146"/>
      <c r="S135" s="128"/>
      <c r="T135" s="146"/>
      <c r="U135" s="128"/>
      <c r="V135" s="146"/>
      <c r="W135" s="128"/>
      <c r="X135" s="146"/>
      <c r="Y135" s="128"/>
      <c r="Z135" s="146"/>
      <c r="AA135" s="128"/>
      <c r="AB135" s="146"/>
      <c r="AC135" s="128"/>
      <c r="AD135" s="146"/>
      <c r="AE135" s="128"/>
      <c r="AF135" s="146"/>
      <c r="AG135" s="128"/>
      <c r="AH135" s="146"/>
      <c r="AI135" s="128"/>
      <c r="AJ135" s="146"/>
      <c r="AK135" s="128"/>
      <c r="AL135" s="146"/>
      <c r="AM135" s="128"/>
      <c r="AN135" s="146"/>
    </row>
    <row r="136" spans="1:40" s="121" customFormat="1" ht="15" customHeight="1">
      <c r="A136" s="129" t="s">
        <v>399</v>
      </c>
      <c r="B136" s="130" t="s">
        <v>803</v>
      </c>
      <c r="C136" s="131">
        <v>139719</v>
      </c>
      <c r="D136" s="131">
        <v>5</v>
      </c>
      <c r="E136" s="128">
        <f>(285*2)+(1106*2)</f>
        <v>2782</v>
      </c>
      <c r="F136" s="146">
        <f>(297*2)+(1161*2)</f>
        <v>2916</v>
      </c>
      <c r="G136" s="128">
        <f>(285*2)+(4424*2)</f>
        <v>9418</v>
      </c>
      <c r="H136" s="146">
        <f>(297*2)+(4645*2)</f>
        <v>9884</v>
      </c>
      <c r="I136" s="128">
        <f>(285*2)+(1327*2)</f>
        <v>3224</v>
      </c>
      <c r="J136" s="146">
        <f>(297*2)+(1393*2)</f>
        <v>3380</v>
      </c>
      <c r="K136" s="128">
        <f>(285*2)+(5308*2)</f>
        <v>11186</v>
      </c>
      <c r="L136" s="146">
        <f>(297*2)+(5573*2)</f>
        <v>11740</v>
      </c>
      <c r="M136" s="128"/>
      <c r="N136" s="146"/>
      <c r="O136" s="128"/>
      <c r="P136" s="146"/>
      <c r="Q136" s="128"/>
      <c r="R136" s="146"/>
      <c r="S136" s="128"/>
      <c r="T136" s="146"/>
      <c r="U136" s="128"/>
      <c r="V136" s="146"/>
      <c r="W136" s="128"/>
      <c r="X136" s="146"/>
      <c r="Y136" s="128"/>
      <c r="Z136" s="146"/>
      <c r="AA136" s="128"/>
      <c r="AB136" s="146"/>
      <c r="AC136" s="128"/>
      <c r="AD136" s="146"/>
      <c r="AE136" s="128"/>
      <c r="AF136" s="146"/>
      <c r="AG136" s="128"/>
      <c r="AH136" s="146"/>
      <c r="AI136" s="128"/>
      <c r="AJ136" s="146"/>
      <c r="AK136" s="128"/>
      <c r="AL136" s="146"/>
      <c r="AM136" s="128"/>
      <c r="AN136" s="146"/>
    </row>
    <row r="137" spans="1:40" s="121" customFormat="1" ht="15" customHeight="1">
      <c r="A137" s="129" t="s">
        <v>399</v>
      </c>
      <c r="B137" s="130" t="s">
        <v>815</v>
      </c>
      <c r="C137" s="131">
        <v>139764</v>
      </c>
      <c r="D137" s="131">
        <v>5</v>
      </c>
      <c r="E137" s="128">
        <f>(286*2)+(1106*2)</f>
        <v>2784</v>
      </c>
      <c r="F137" s="146">
        <f>(285*2)+(1161*2)</f>
        <v>2892</v>
      </c>
      <c r="G137" s="128">
        <f>(286*2)+(4424*2)</f>
        <v>9420</v>
      </c>
      <c r="H137" s="146">
        <f>(285*2)+(4645*2)</f>
        <v>9860</v>
      </c>
      <c r="I137" s="128">
        <f>(286*2)+(1327*2)</f>
        <v>3226</v>
      </c>
      <c r="J137" s="146">
        <f>(285*2)+(1393*2)</f>
        <v>3356</v>
      </c>
      <c r="K137" s="128">
        <f>(286*2)+(5308*2)</f>
        <v>11188</v>
      </c>
      <c r="L137" s="146">
        <f>(285*2)+(5573*2)</f>
        <v>11716</v>
      </c>
      <c r="M137" s="128"/>
      <c r="N137" s="146"/>
      <c r="O137" s="128"/>
      <c r="P137" s="146"/>
      <c r="Q137" s="128"/>
      <c r="R137" s="146"/>
      <c r="S137" s="128"/>
      <c r="T137" s="146"/>
      <c r="U137" s="128"/>
      <c r="V137" s="146"/>
      <c r="W137" s="128"/>
      <c r="X137" s="146"/>
      <c r="Y137" s="128"/>
      <c r="Z137" s="146"/>
      <c r="AA137" s="128"/>
      <c r="AB137" s="146"/>
      <c r="AC137" s="128"/>
      <c r="AD137" s="146"/>
      <c r="AE137" s="128"/>
      <c r="AF137" s="146"/>
      <c r="AG137" s="128"/>
      <c r="AH137" s="146"/>
      <c r="AI137" s="128"/>
      <c r="AJ137" s="146"/>
      <c r="AK137" s="128"/>
      <c r="AL137" s="146"/>
      <c r="AM137" s="128"/>
      <c r="AN137" s="146"/>
    </row>
    <row r="138" spans="1:40" s="121" customFormat="1" ht="15" customHeight="1">
      <c r="A138" s="129" t="s">
        <v>399</v>
      </c>
      <c r="B138" s="130" t="s">
        <v>816</v>
      </c>
      <c r="C138" s="131">
        <v>140669</v>
      </c>
      <c r="D138" s="131">
        <v>5</v>
      </c>
      <c r="E138" s="128">
        <f>(286*2)+(1106*2)</f>
        <v>2784</v>
      </c>
      <c r="F138" s="146">
        <f>(291*2)+(1161*2)</f>
        <v>2904</v>
      </c>
      <c r="G138" s="128">
        <f>(286*2)+(4424*2)</f>
        <v>9420</v>
      </c>
      <c r="H138" s="146">
        <f>(291*2)+(4645*2)</f>
        <v>9872</v>
      </c>
      <c r="I138" s="128">
        <f>(286*2)+(1327*2)</f>
        <v>3226</v>
      </c>
      <c r="J138" s="146">
        <f>(291*2)+(1393*2)</f>
        <v>3368</v>
      </c>
      <c r="K138" s="128">
        <f>(286*2)+(5308*2)</f>
        <v>11188</v>
      </c>
      <c r="L138" s="146">
        <f>(291*2)+(5573*2)</f>
        <v>11728</v>
      </c>
      <c r="M138" s="128"/>
      <c r="N138" s="146"/>
      <c r="O138" s="128"/>
      <c r="P138" s="146"/>
      <c r="Q138" s="128"/>
      <c r="R138" s="146"/>
      <c r="S138" s="128"/>
      <c r="T138" s="146"/>
      <c r="U138" s="128"/>
      <c r="V138" s="146"/>
      <c r="W138" s="128"/>
      <c r="X138" s="146"/>
      <c r="Y138" s="128"/>
      <c r="Z138" s="146"/>
      <c r="AA138" s="128"/>
      <c r="AB138" s="146"/>
      <c r="AC138" s="128"/>
      <c r="AD138" s="146"/>
      <c r="AE138" s="128"/>
      <c r="AF138" s="146"/>
      <c r="AG138" s="128"/>
      <c r="AH138" s="146"/>
      <c r="AI138" s="128"/>
      <c r="AJ138" s="146"/>
      <c r="AK138" s="128"/>
      <c r="AL138" s="146"/>
      <c r="AM138" s="128"/>
      <c r="AN138" s="146"/>
    </row>
    <row r="139" spans="1:40" s="121" customFormat="1" ht="15" customHeight="1">
      <c r="A139" s="129" t="s">
        <v>399</v>
      </c>
      <c r="B139" s="130" t="s">
        <v>817</v>
      </c>
      <c r="C139" s="131">
        <v>140960</v>
      </c>
      <c r="D139" s="131">
        <v>5</v>
      </c>
      <c r="E139" s="128">
        <f>(309*2)+(1106*2)</f>
        <v>2830</v>
      </c>
      <c r="F139" s="146">
        <f>(309*2)+(1161*2)</f>
        <v>2940</v>
      </c>
      <c r="G139" s="128">
        <f>(309*2)+(4424*2)</f>
        <v>9466</v>
      </c>
      <c r="H139" s="146">
        <f>(309*2)+(4645*2)</f>
        <v>9908</v>
      </c>
      <c r="I139" s="128">
        <f>(309*2)+(1327*2)</f>
        <v>3272</v>
      </c>
      <c r="J139" s="146">
        <f>(309*2)+(1393*2)</f>
        <v>3404</v>
      </c>
      <c r="K139" s="128">
        <f>(309*2)+(5308*2)</f>
        <v>11234</v>
      </c>
      <c r="L139" s="146">
        <f>(309*2)+(5573*2)</f>
        <v>11764</v>
      </c>
      <c r="M139" s="128"/>
      <c r="N139" s="146"/>
      <c r="O139" s="128"/>
      <c r="P139" s="146"/>
      <c r="Q139" s="128"/>
      <c r="R139" s="146"/>
      <c r="S139" s="128"/>
      <c r="T139" s="146"/>
      <c r="U139" s="128"/>
      <c r="V139" s="146"/>
      <c r="W139" s="128"/>
      <c r="X139" s="146"/>
      <c r="Y139" s="128"/>
      <c r="Z139" s="146"/>
      <c r="AA139" s="128"/>
      <c r="AB139" s="146"/>
      <c r="AC139" s="128"/>
      <c r="AD139" s="146"/>
      <c r="AE139" s="128"/>
      <c r="AF139" s="146"/>
      <c r="AG139" s="128"/>
      <c r="AH139" s="146"/>
      <c r="AI139" s="128"/>
      <c r="AJ139" s="146"/>
      <c r="AK139" s="128"/>
      <c r="AL139" s="146"/>
      <c r="AM139" s="128"/>
      <c r="AN139" s="146"/>
    </row>
    <row r="140" spans="1:40" s="121" customFormat="1" ht="15" customHeight="1">
      <c r="A140" s="129" t="s">
        <v>399</v>
      </c>
      <c r="B140" s="130" t="s">
        <v>818</v>
      </c>
      <c r="C140" s="131">
        <v>139311</v>
      </c>
      <c r="D140" s="131">
        <v>6</v>
      </c>
      <c r="E140" s="128">
        <v>2670</v>
      </c>
      <c r="F140" s="146">
        <f>(240*2)+(1161*2)</f>
        <v>2802</v>
      </c>
      <c r="G140" s="128">
        <v>9306</v>
      </c>
      <c r="H140" s="146">
        <f>(240*2)+(4645*2)</f>
        <v>9770</v>
      </c>
      <c r="I140" s="128"/>
      <c r="J140" s="146"/>
      <c r="K140" s="128"/>
      <c r="L140" s="146"/>
      <c r="M140" s="128"/>
      <c r="N140" s="146"/>
      <c r="O140" s="128"/>
      <c r="P140" s="146"/>
      <c r="Q140" s="128"/>
      <c r="R140" s="146"/>
      <c r="S140" s="128"/>
      <c r="T140" s="146"/>
      <c r="U140" s="128"/>
      <c r="V140" s="146"/>
      <c r="W140" s="128"/>
      <c r="X140" s="146"/>
      <c r="Y140" s="128"/>
      <c r="Z140" s="146"/>
      <c r="AA140" s="128"/>
      <c r="AB140" s="146"/>
      <c r="AC140" s="128"/>
      <c r="AD140" s="146"/>
      <c r="AE140" s="128"/>
      <c r="AF140" s="146"/>
      <c r="AG140" s="128"/>
      <c r="AH140" s="146"/>
      <c r="AI140" s="128"/>
      <c r="AJ140" s="146"/>
      <c r="AK140" s="128"/>
      <c r="AL140" s="146"/>
      <c r="AM140" s="128"/>
      <c r="AN140" s="146"/>
    </row>
    <row r="141" spans="1:40" s="121" customFormat="1" ht="15" customHeight="1">
      <c r="A141" s="129" t="s">
        <v>399</v>
      </c>
      <c r="B141" s="130" t="s">
        <v>819</v>
      </c>
      <c r="C141" s="131">
        <v>139463</v>
      </c>
      <c r="D141" s="131">
        <v>7</v>
      </c>
      <c r="E141" s="128">
        <f>(62*2)+(699*2)</f>
        <v>1522</v>
      </c>
      <c r="F141" s="146">
        <f>(62*2)+(734*2)</f>
        <v>1592</v>
      </c>
      <c r="G141" s="128">
        <f>(62*2)+(2796*2)</f>
        <v>5716</v>
      </c>
      <c r="H141" s="146">
        <f>(62*2)+(2936*2)</f>
        <v>5996</v>
      </c>
      <c r="I141" s="128"/>
      <c r="J141" s="146"/>
      <c r="K141" s="128"/>
      <c r="L141" s="146"/>
      <c r="M141" s="128"/>
      <c r="N141" s="146"/>
      <c r="O141" s="128"/>
      <c r="P141" s="146"/>
      <c r="Q141" s="128"/>
      <c r="R141" s="146"/>
      <c r="S141" s="128"/>
      <c r="T141" s="146"/>
      <c r="U141" s="128"/>
      <c r="V141" s="146"/>
      <c r="W141" s="128"/>
      <c r="X141" s="146"/>
      <c r="Y141" s="128"/>
      <c r="Z141" s="146"/>
      <c r="AA141" s="128"/>
      <c r="AB141" s="146"/>
      <c r="AC141" s="128"/>
      <c r="AD141" s="146"/>
      <c r="AE141" s="128"/>
      <c r="AF141" s="146"/>
      <c r="AG141" s="128"/>
      <c r="AH141" s="146"/>
      <c r="AI141" s="128"/>
      <c r="AJ141" s="146"/>
      <c r="AK141" s="128"/>
      <c r="AL141" s="146"/>
      <c r="AM141" s="128"/>
      <c r="AN141" s="146"/>
    </row>
    <row r="142" spans="1:40" s="121" customFormat="1" ht="15" customHeight="1">
      <c r="A142" s="129" t="s">
        <v>399</v>
      </c>
      <c r="B142" s="130" t="s">
        <v>820</v>
      </c>
      <c r="C142" s="131">
        <v>140322</v>
      </c>
      <c r="D142" s="131">
        <v>7</v>
      </c>
      <c r="E142" s="128">
        <f>(79*2)+(699*2)</f>
        <v>1556</v>
      </c>
      <c r="F142" s="146">
        <f>(79*2)+(734*2)</f>
        <v>1626</v>
      </c>
      <c r="G142" s="128">
        <f>(79*2)+(2796*2)</f>
        <v>5750</v>
      </c>
      <c r="H142" s="146">
        <f>(79*2)+(2936*2)</f>
        <v>6030</v>
      </c>
      <c r="I142" s="128"/>
      <c r="J142" s="146"/>
      <c r="K142" s="128"/>
      <c r="L142" s="146"/>
      <c r="M142" s="128"/>
      <c r="N142" s="146"/>
      <c r="O142" s="128"/>
      <c r="P142" s="146"/>
      <c r="Q142" s="128"/>
      <c r="R142" s="146"/>
      <c r="S142" s="128"/>
      <c r="T142" s="146"/>
      <c r="U142" s="128"/>
      <c r="V142" s="146"/>
      <c r="W142" s="128"/>
      <c r="X142" s="146"/>
      <c r="Y142" s="128"/>
      <c r="Z142" s="146"/>
      <c r="AA142" s="128"/>
      <c r="AB142" s="146"/>
      <c r="AC142" s="128"/>
      <c r="AD142" s="146"/>
      <c r="AE142" s="128"/>
      <c r="AF142" s="146"/>
      <c r="AG142" s="128"/>
      <c r="AH142" s="146"/>
      <c r="AI142" s="128"/>
      <c r="AJ142" s="146"/>
      <c r="AK142" s="128"/>
      <c r="AL142" s="146"/>
      <c r="AM142" s="128"/>
      <c r="AN142" s="146"/>
    </row>
    <row r="143" spans="1:40" s="121" customFormat="1" ht="15" customHeight="1">
      <c r="A143" s="129" t="s">
        <v>399</v>
      </c>
      <c r="B143" s="130" t="s">
        <v>821</v>
      </c>
      <c r="C143" s="131">
        <v>244437</v>
      </c>
      <c r="D143" s="131">
        <v>8</v>
      </c>
      <c r="E143" s="128">
        <f>(122*2)+(699*2)</f>
        <v>1642</v>
      </c>
      <c r="F143" s="146">
        <f>(128*2)+(734*2)</f>
        <v>1724</v>
      </c>
      <c r="G143" s="128">
        <f>(122*2)+(2796*2)</f>
        <v>5836</v>
      </c>
      <c r="H143" s="146">
        <f>(128*2)+(2936*2)</f>
        <v>6128</v>
      </c>
      <c r="I143" s="128"/>
      <c r="J143" s="146"/>
      <c r="K143" s="128"/>
      <c r="L143" s="146"/>
      <c r="M143" s="128"/>
      <c r="N143" s="146"/>
      <c r="O143" s="128"/>
      <c r="P143" s="146"/>
      <c r="Q143" s="128"/>
      <c r="R143" s="146"/>
      <c r="S143" s="128"/>
      <c r="T143" s="146"/>
      <c r="U143" s="128"/>
      <c r="V143" s="146"/>
      <c r="W143" s="128"/>
      <c r="X143" s="146"/>
      <c r="Y143" s="128"/>
      <c r="Z143" s="146"/>
      <c r="AA143" s="128"/>
      <c r="AB143" s="146"/>
      <c r="AC143" s="128"/>
      <c r="AD143" s="146"/>
      <c r="AE143" s="128"/>
      <c r="AF143" s="146"/>
      <c r="AG143" s="128"/>
      <c r="AH143" s="146"/>
      <c r="AI143" s="128"/>
      <c r="AJ143" s="146"/>
      <c r="AK143" s="128"/>
      <c r="AL143" s="146"/>
      <c r="AM143" s="128"/>
      <c r="AN143" s="146"/>
    </row>
    <row r="144" spans="1:40" s="121" customFormat="1" ht="15" customHeight="1">
      <c r="A144" s="129" t="s">
        <v>399</v>
      </c>
      <c r="B144" s="130" t="s">
        <v>822</v>
      </c>
      <c r="C144" s="131">
        <v>138558</v>
      </c>
      <c r="D144" s="131">
        <v>9</v>
      </c>
      <c r="E144" s="128">
        <f>(219*2)+(699*2)</f>
        <v>1836</v>
      </c>
      <c r="F144" s="146">
        <f>(227*2)+(734*2)</f>
        <v>1922</v>
      </c>
      <c r="G144" s="128">
        <f>(219*2)+(2796*2)</f>
        <v>6030</v>
      </c>
      <c r="H144" s="146">
        <f>(227*2)+(2936*2)</f>
        <v>6326</v>
      </c>
      <c r="I144" s="128"/>
      <c r="J144" s="146"/>
      <c r="K144" s="128"/>
      <c r="L144" s="146"/>
      <c r="M144" s="128"/>
      <c r="N144" s="146"/>
      <c r="O144" s="128"/>
      <c r="P144" s="146"/>
      <c r="Q144" s="128"/>
      <c r="R144" s="146"/>
      <c r="S144" s="128"/>
      <c r="T144" s="146"/>
      <c r="U144" s="128"/>
      <c r="V144" s="146"/>
      <c r="W144" s="128"/>
      <c r="X144" s="146"/>
      <c r="Y144" s="128"/>
      <c r="Z144" s="146"/>
      <c r="AA144" s="128"/>
      <c r="AB144" s="146"/>
      <c r="AC144" s="128"/>
      <c r="AD144" s="146"/>
      <c r="AE144" s="128"/>
      <c r="AF144" s="146"/>
      <c r="AG144" s="128"/>
      <c r="AH144" s="146"/>
      <c r="AI144" s="128"/>
      <c r="AJ144" s="146"/>
      <c r="AK144" s="128"/>
      <c r="AL144" s="146"/>
      <c r="AM144" s="128"/>
      <c r="AN144" s="146"/>
    </row>
    <row r="145" spans="1:40" s="121" customFormat="1" ht="15" customHeight="1">
      <c r="A145" s="129" t="s">
        <v>399</v>
      </c>
      <c r="B145" s="130" t="s">
        <v>823</v>
      </c>
      <c r="C145" s="131">
        <v>138691</v>
      </c>
      <c r="D145" s="131">
        <v>9</v>
      </c>
      <c r="E145" s="128">
        <f>(132*2)+(699*2)</f>
        <v>1662</v>
      </c>
      <c r="F145" s="146">
        <f>(136*2)+(734*2)</f>
        <v>1740</v>
      </c>
      <c r="G145" s="128">
        <f>(132*2)+(2796*2)</f>
        <v>5856</v>
      </c>
      <c r="H145" s="146">
        <f>(136*2)+(2936*2)</f>
        <v>6144</v>
      </c>
      <c r="I145" s="128"/>
      <c r="J145" s="146"/>
      <c r="K145" s="128"/>
      <c r="L145" s="146"/>
      <c r="M145" s="128"/>
      <c r="N145" s="146"/>
      <c r="O145" s="128"/>
      <c r="P145" s="146"/>
      <c r="Q145" s="128"/>
      <c r="R145" s="146"/>
      <c r="S145" s="128"/>
      <c r="T145" s="146"/>
      <c r="U145" s="128"/>
      <c r="V145" s="146"/>
      <c r="W145" s="128"/>
      <c r="X145" s="146"/>
      <c r="Y145" s="128"/>
      <c r="Z145" s="146"/>
      <c r="AA145" s="128"/>
      <c r="AB145" s="146"/>
      <c r="AC145" s="128"/>
      <c r="AD145" s="146"/>
      <c r="AE145" s="128"/>
      <c r="AF145" s="146"/>
      <c r="AG145" s="128"/>
      <c r="AH145" s="146"/>
      <c r="AI145" s="128"/>
      <c r="AJ145" s="146"/>
      <c r="AK145" s="128"/>
      <c r="AL145" s="146"/>
      <c r="AM145" s="128"/>
      <c r="AN145" s="146"/>
    </row>
    <row r="146" spans="1:40" s="121" customFormat="1" ht="15" customHeight="1">
      <c r="A146" s="129" t="s">
        <v>399</v>
      </c>
      <c r="B146" s="130" t="s">
        <v>829</v>
      </c>
      <c r="C146" s="131">
        <v>139700</v>
      </c>
      <c r="D146" s="131">
        <v>9</v>
      </c>
      <c r="E146" s="128">
        <f>(92*2)+(699*2)</f>
        <v>1582</v>
      </c>
      <c r="F146" s="146">
        <f>(92*2)+(734*2)</f>
        <v>1652</v>
      </c>
      <c r="G146" s="128">
        <f>(92*2)+(2796*2)</f>
        <v>5776</v>
      </c>
      <c r="H146" s="146">
        <f>(92*2)+(2936*2)</f>
        <v>6056</v>
      </c>
      <c r="I146" s="128"/>
      <c r="J146" s="146"/>
      <c r="K146" s="128"/>
      <c r="L146" s="146"/>
      <c r="M146" s="128"/>
      <c r="N146" s="146"/>
      <c r="O146" s="128"/>
      <c r="P146" s="146"/>
      <c r="Q146" s="128"/>
      <c r="R146" s="146"/>
      <c r="S146" s="128"/>
      <c r="T146" s="146"/>
      <c r="U146" s="128"/>
      <c r="V146" s="146"/>
      <c r="W146" s="128"/>
      <c r="X146" s="146"/>
      <c r="Y146" s="128"/>
      <c r="Z146" s="146"/>
      <c r="AA146" s="128"/>
      <c r="AB146" s="146"/>
      <c r="AC146" s="128"/>
      <c r="AD146" s="146"/>
      <c r="AE146" s="128"/>
      <c r="AF146" s="146"/>
      <c r="AG146" s="128"/>
      <c r="AH146" s="146"/>
      <c r="AI146" s="128"/>
      <c r="AJ146" s="146"/>
      <c r="AK146" s="128"/>
      <c r="AL146" s="146"/>
      <c r="AM146" s="128"/>
      <c r="AN146" s="146"/>
    </row>
    <row r="147" spans="1:40" s="121" customFormat="1" ht="15" customHeight="1">
      <c r="A147" s="129" t="s">
        <v>399</v>
      </c>
      <c r="B147" s="357" t="s">
        <v>653</v>
      </c>
      <c r="C147" s="131">
        <v>139773</v>
      </c>
      <c r="D147" s="131">
        <v>9</v>
      </c>
      <c r="E147" s="128">
        <f>(69*2)+(2*699)</f>
        <v>1536</v>
      </c>
      <c r="F147" s="146">
        <f>(72*2)+(734*2)</f>
        <v>1612</v>
      </c>
      <c r="G147" s="128">
        <f>(69*2)+(2*2796)</f>
        <v>5730</v>
      </c>
      <c r="H147" s="146">
        <f>(72*2)+(2936*2)</f>
        <v>6016</v>
      </c>
      <c r="I147" s="128"/>
      <c r="J147" s="146"/>
      <c r="K147" s="128"/>
      <c r="L147" s="146"/>
      <c r="M147" s="128"/>
      <c r="N147" s="146"/>
      <c r="O147" s="128"/>
      <c r="P147" s="146"/>
      <c r="Q147" s="128"/>
      <c r="R147" s="146"/>
      <c r="S147" s="128"/>
      <c r="T147" s="146"/>
      <c r="U147" s="128"/>
      <c r="V147" s="146"/>
      <c r="W147" s="128"/>
      <c r="X147" s="146"/>
      <c r="Y147" s="128"/>
      <c r="Z147" s="146"/>
      <c r="AA147" s="128"/>
      <c r="AB147" s="146"/>
      <c r="AC147" s="128"/>
      <c r="AD147" s="146"/>
      <c r="AE147" s="128"/>
      <c r="AF147" s="146"/>
      <c r="AG147" s="128"/>
      <c r="AH147" s="146"/>
      <c r="AI147" s="128"/>
      <c r="AJ147" s="146"/>
      <c r="AK147" s="128"/>
      <c r="AL147" s="146"/>
      <c r="AM147" s="128"/>
      <c r="AN147" s="146"/>
    </row>
    <row r="148" spans="1:40" s="121" customFormat="1" ht="15" customHeight="1">
      <c r="A148" s="129" t="s">
        <v>399</v>
      </c>
      <c r="B148" s="130" t="s">
        <v>824</v>
      </c>
      <c r="C148" s="131">
        <v>139968</v>
      </c>
      <c r="D148" s="131">
        <v>9</v>
      </c>
      <c r="E148" s="128">
        <f>(90*2)+(699*2)</f>
        <v>1578</v>
      </c>
      <c r="F148" s="146">
        <f>(94*2)+(734*2)</f>
        <v>1656</v>
      </c>
      <c r="G148" s="128">
        <f>(90*2)+(2796*2)</f>
        <v>5772</v>
      </c>
      <c r="H148" s="146">
        <f>(94*2)+(2936*2)</f>
        <v>6060</v>
      </c>
      <c r="I148" s="128"/>
      <c r="J148" s="146"/>
      <c r="K148" s="128"/>
      <c r="L148" s="146"/>
      <c r="M148" s="128"/>
      <c r="N148" s="146"/>
      <c r="O148" s="128"/>
      <c r="P148" s="146"/>
      <c r="Q148" s="128"/>
      <c r="R148" s="146"/>
      <c r="S148" s="128"/>
      <c r="T148" s="146"/>
      <c r="U148" s="128"/>
      <c r="V148" s="146"/>
      <c r="W148" s="128"/>
      <c r="X148" s="146"/>
      <c r="Y148" s="128"/>
      <c r="Z148" s="146"/>
      <c r="AA148" s="128"/>
      <c r="AB148" s="146"/>
      <c r="AC148" s="128"/>
      <c r="AD148" s="146"/>
      <c r="AE148" s="128"/>
      <c r="AF148" s="146"/>
      <c r="AG148" s="128"/>
      <c r="AH148" s="146"/>
      <c r="AI148" s="128"/>
      <c r="AJ148" s="146"/>
      <c r="AK148" s="128"/>
      <c r="AL148" s="146"/>
      <c r="AM148" s="128"/>
      <c r="AN148" s="146"/>
    </row>
    <row r="149" spans="1:40" s="121" customFormat="1" ht="15" customHeight="1">
      <c r="A149" s="129" t="s">
        <v>399</v>
      </c>
      <c r="B149" s="130" t="s">
        <v>825</v>
      </c>
      <c r="C149" s="131">
        <v>138901</v>
      </c>
      <c r="D149" s="131">
        <v>10</v>
      </c>
      <c r="E149" s="128">
        <f>(100*2)+(699*2)</f>
        <v>1598</v>
      </c>
      <c r="F149" s="146">
        <f>(105*2)+(734*2)</f>
        <v>1678</v>
      </c>
      <c r="G149" s="128">
        <f>(100*2)+(2796*2)</f>
        <v>5792</v>
      </c>
      <c r="H149" s="146">
        <f>(105*2)+(2936*2)</f>
        <v>6082</v>
      </c>
      <c r="I149" s="128"/>
      <c r="J149" s="146"/>
      <c r="K149" s="128"/>
      <c r="L149" s="146"/>
      <c r="M149" s="128"/>
      <c r="N149" s="146"/>
      <c r="O149" s="128"/>
      <c r="P149" s="146"/>
      <c r="Q149" s="128"/>
      <c r="R149" s="146"/>
      <c r="S149" s="128"/>
      <c r="T149" s="146"/>
      <c r="U149" s="128"/>
      <c r="V149" s="146"/>
      <c r="W149" s="128"/>
      <c r="X149" s="146"/>
      <c r="Y149" s="128"/>
      <c r="Z149" s="146"/>
      <c r="AA149" s="128"/>
      <c r="AB149" s="146"/>
      <c r="AC149" s="128"/>
      <c r="AD149" s="146"/>
      <c r="AE149" s="128"/>
      <c r="AF149" s="146"/>
      <c r="AG149" s="128"/>
      <c r="AH149" s="146"/>
      <c r="AI149" s="128"/>
      <c r="AJ149" s="146"/>
      <c r="AK149" s="128"/>
      <c r="AL149" s="146"/>
      <c r="AM149" s="128"/>
      <c r="AN149" s="146"/>
    </row>
    <row r="150" spans="1:40" s="121" customFormat="1" ht="15" customHeight="1">
      <c r="A150" s="129" t="s">
        <v>399</v>
      </c>
      <c r="B150" s="130" t="s">
        <v>826</v>
      </c>
      <c r="C150" s="131">
        <v>139010</v>
      </c>
      <c r="D150" s="131">
        <v>10</v>
      </c>
      <c r="E150" s="128">
        <f>(62*2)+(699*2)</f>
        <v>1522</v>
      </c>
      <c r="F150" s="146">
        <f>(62*2)+(734*2)</f>
        <v>1592</v>
      </c>
      <c r="G150" s="128">
        <f>(62*2)+(2796*2)</f>
        <v>5716</v>
      </c>
      <c r="H150" s="146">
        <f>(62*2)+(2936*2)</f>
        <v>5996</v>
      </c>
      <c r="I150" s="128"/>
      <c r="J150" s="146"/>
      <c r="K150" s="128"/>
      <c r="L150" s="146"/>
      <c r="M150" s="128"/>
      <c r="N150" s="146"/>
      <c r="O150" s="128"/>
      <c r="P150" s="146"/>
      <c r="Q150" s="128"/>
      <c r="R150" s="146"/>
      <c r="S150" s="128"/>
      <c r="T150" s="146"/>
      <c r="U150" s="128"/>
      <c r="V150" s="146"/>
      <c r="W150" s="128"/>
      <c r="X150" s="146"/>
      <c r="Y150" s="128"/>
      <c r="Z150" s="146"/>
      <c r="AA150" s="128"/>
      <c r="AB150" s="146"/>
      <c r="AC150" s="128"/>
      <c r="AD150" s="146"/>
      <c r="AE150" s="128"/>
      <c r="AF150" s="146"/>
      <c r="AG150" s="128"/>
      <c r="AH150" s="146"/>
      <c r="AI150" s="128"/>
      <c r="AJ150" s="146"/>
      <c r="AK150" s="128"/>
      <c r="AL150" s="146"/>
      <c r="AM150" s="128"/>
      <c r="AN150" s="146"/>
    </row>
    <row r="151" spans="1:40" s="121" customFormat="1" ht="15" customHeight="1">
      <c r="A151" s="129" t="s">
        <v>399</v>
      </c>
      <c r="B151" s="130" t="s">
        <v>827</v>
      </c>
      <c r="C151" s="131">
        <v>139250</v>
      </c>
      <c r="D151" s="131">
        <v>10</v>
      </c>
      <c r="E151" s="128">
        <f>(106*2)+(699*2)</f>
        <v>1610</v>
      </c>
      <c r="F151" s="146">
        <f>(106*2)+(734*2)</f>
        <v>1680</v>
      </c>
      <c r="G151" s="128">
        <f>(106*2)+(2796*2)</f>
        <v>5804</v>
      </c>
      <c r="H151" s="146">
        <f>(106*2)+(2936*2)</f>
        <v>6084</v>
      </c>
      <c r="I151" s="128"/>
      <c r="J151" s="146"/>
      <c r="K151" s="128"/>
      <c r="L151" s="146"/>
      <c r="M151" s="128"/>
      <c r="N151" s="146"/>
      <c r="O151" s="128"/>
      <c r="P151" s="146"/>
      <c r="Q151" s="128"/>
      <c r="R151" s="146"/>
      <c r="S151" s="128"/>
      <c r="T151" s="146"/>
      <c r="U151" s="128"/>
      <c r="V151" s="146"/>
      <c r="W151" s="128"/>
      <c r="X151" s="146"/>
      <c r="Y151" s="128"/>
      <c r="Z151" s="146"/>
      <c r="AA151" s="128"/>
      <c r="AB151" s="146"/>
      <c r="AC151" s="128"/>
      <c r="AD151" s="146"/>
      <c r="AE151" s="128"/>
      <c r="AF151" s="146"/>
      <c r="AG151" s="128"/>
      <c r="AH151" s="146"/>
      <c r="AI151" s="128"/>
      <c r="AJ151" s="146"/>
      <c r="AK151" s="128"/>
      <c r="AL151" s="146"/>
      <c r="AM151" s="128"/>
      <c r="AN151" s="146"/>
    </row>
    <row r="152" spans="1:40" s="121" customFormat="1" ht="15" customHeight="1">
      <c r="A152" s="129" t="s">
        <v>399</v>
      </c>
      <c r="B152" s="130" t="s">
        <v>828</v>
      </c>
      <c r="C152" s="131">
        <v>139621</v>
      </c>
      <c r="D152" s="131">
        <v>10</v>
      </c>
      <c r="E152" s="128">
        <f>(63*2)+(699*2)</f>
        <v>1524</v>
      </c>
      <c r="F152" s="146">
        <f>(66*2)+(734*2)</f>
        <v>1600</v>
      </c>
      <c r="G152" s="128">
        <f>(63*2)+(2796*2)</f>
        <v>5718</v>
      </c>
      <c r="H152" s="146">
        <f>(66*2)+(2936*2)</f>
        <v>6004</v>
      </c>
      <c r="I152" s="128"/>
      <c r="J152" s="146"/>
      <c r="K152" s="128"/>
      <c r="L152" s="146"/>
      <c r="M152" s="128"/>
      <c r="N152" s="146"/>
      <c r="O152" s="128"/>
      <c r="P152" s="146"/>
      <c r="Q152" s="128"/>
      <c r="R152" s="146"/>
      <c r="S152" s="128"/>
      <c r="T152" s="146"/>
      <c r="U152" s="128"/>
      <c r="V152" s="146"/>
      <c r="W152" s="128"/>
      <c r="X152" s="146"/>
      <c r="Y152" s="128"/>
      <c r="Z152" s="146"/>
      <c r="AA152" s="128"/>
      <c r="AB152" s="146"/>
      <c r="AC152" s="128"/>
      <c r="AD152" s="146"/>
      <c r="AE152" s="128"/>
      <c r="AF152" s="146"/>
      <c r="AG152" s="128"/>
      <c r="AH152" s="146"/>
      <c r="AI152" s="128"/>
      <c r="AJ152" s="146"/>
      <c r="AK152" s="128"/>
      <c r="AL152" s="146"/>
      <c r="AM152" s="128"/>
      <c r="AN152" s="146"/>
    </row>
    <row r="153" spans="1:40" s="121" customFormat="1" ht="15" customHeight="1">
      <c r="A153" s="129" t="s">
        <v>399</v>
      </c>
      <c r="B153" s="130" t="s">
        <v>830</v>
      </c>
      <c r="C153" s="131">
        <v>140483</v>
      </c>
      <c r="D153" s="131">
        <v>10</v>
      </c>
      <c r="E153" s="128">
        <f>(202*2)+(699*2)</f>
        <v>1802</v>
      </c>
      <c r="F153" s="146">
        <f>(212*2)+(734*2)</f>
        <v>1892</v>
      </c>
      <c r="G153" s="128">
        <f>(202*2)+(2796*2)</f>
        <v>5996</v>
      </c>
      <c r="H153" s="146">
        <f>(212*2)+(2936*2)</f>
        <v>6296</v>
      </c>
      <c r="I153" s="128"/>
      <c r="J153" s="146"/>
      <c r="K153" s="128"/>
      <c r="L153" s="146"/>
      <c r="M153" s="128"/>
      <c r="N153" s="146"/>
      <c r="O153" s="128"/>
      <c r="P153" s="146"/>
      <c r="Q153" s="128"/>
      <c r="R153" s="146"/>
      <c r="S153" s="128"/>
      <c r="T153" s="146"/>
      <c r="U153" s="128"/>
      <c r="V153" s="146"/>
      <c r="W153" s="128"/>
      <c r="X153" s="146"/>
      <c r="Y153" s="128"/>
      <c r="Z153" s="146"/>
      <c r="AA153" s="128"/>
      <c r="AB153" s="146"/>
      <c r="AC153" s="128"/>
      <c r="AD153" s="146"/>
      <c r="AE153" s="128"/>
      <c r="AF153" s="146"/>
      <c r="AG153" s="128"/>
      <c r="AH153" s="146"/>
      <c r="AI153" s="128"/>
      <c r="AJ153" s="146"/>
      <c r="AK153" s="128"/>
      <c r="AL153" s="146"/>
      <c r="AM153" s="128"/>
      <c r="AN153" s="146"/>
    </row>
    <row r="154" spans="1:40" s="121" customFormat="1" ht="15" customHeight="1">
      <c r="A154" s="129" t="s">
        <v>399</v>
      </c>
      <c r="B154" s="130" t="s">
        <v>156</v>
      </c>
      <c r="C154" s="131">
        <v>140997</v>
      </c>
      <c r="D154" s="131">
        <v>10</v>
      </c>
      <c r="E154" s="128">
        <f>(128*2)+(699*2)</f>
        <v>1654</v>
      </c>
      <c r="F154" s="146">
        <f>(134*2)+(734*2)</f>
        <v>1736</v>
      </c>
      <c r="G154" s="128">
        <f>(128*2)+(2796*2)</f>
        <v>5848</v>
      </c>
      <c r="H154" s="146">
        <f>(134*2)+(2936*2)</f>
        <v>6140</v>
      </c>
      <c r="I154" s="128"/>
      <c r="J154" s="146"/>
      <c r="K154" s="128"/>
      <c r="L154" s="146"/>
      <c r="M154" s="128"/>
      <c r="N154" s="146"/>
      <c r="O154" s="128"/>
      <c r="P154" s="146"/>
      <c r="Q154" s="128"/>
      <c r="R154" s="146"/>
      <c r="S154" s="128"/>
      <c r="T154" s="146"/>
      <c r="U154" s="128"/>
      <c r="V154" s="146"/>
      <c r="W154" s="128"/>
      <c r="X154" s="146"/>
      <c r="Y154" s="128"/>
      <c r="Z154" s="146"/>
      <c r="AA154" s="128"/>
      <c r="AB154" s="146"/>
      <c r="AC154" s="128"/>
      <c r="AD154" s="146"/>
      <c r="AE154" s="128"/>
      <c r="AF154" s="146"/>
      <c r="AG154" s="128"/>
      <c r="AH154" s="146"/>
      <c r="AI154" s="128"/>
      <c r="AJ154" s="146"/>
      <c r="AK154" s="128"/>
      <c r="AL154" s="146"/>
      <c r="AM154" s="128"/>
      <c r="AN154" s="146"/>
    </row>
    <row r="155" spans="1:40" s="121" customFormat="1" ht="15" customHeight="1">
      <c r="A155" s="129" t="s">
        <v>399</v>
      </c>
      <c r="B155" s="130" t="s">
        <v>157</v>
      </c>
      <c r="C155" s="131">
        <v>141307</v>
      </c>
      <c r="D155" s="131">
        <v>10</v>
      </c>
      <c r="E155" s="128">
        <f>(77*2)+(699*2)</f>
        <v>1552</v>
      </c>
      <c r="F155" s="146">
        <f>(77*2)+(734*2)</f>
        <v>1622</v>
      </c>
      <c r="G155" s="128">
        <f>(77*2)+(2796*2)</f>
        <v>5746</v>
      </c>
      <c r="H155" s="146">
        <f>(77*2)+(2936*2)</f>
        <v>6026</v>
      </c>
      <c r="I155" s="128"/>
      <c r="J155" s="146"/>
      <c r="K155" s="128"/>
      <c r="L155" s="146"/>
      <c r="M155" s="128"/>
      <c r="N155" s="146"/>
      <c r="O155" s="128"/>
      <c r="P155" s="146"/>
      <c r="Q155" s="128"/>
      <c r="R155" s="146"/>
      <c r="S155" s="128"/>
      <c r="T155" s="146"/>
      <c r="U155" s="128"/>
      <c r="V155" s="146"/>
      <c r="W155" s="128"/>
      <c r="X155" s="146"/>
      <c r="Y155" s="128"/>
      <c r="Z155" s="146"/>
      <c r="AA155" s="128"/>
      <c r="AB155" s="146"/>
      <c r="AC155" s="128"/>
      <c r="AD155" s="146"/>
      <c r="AE155" s="128"/>
      <c r="AF155" s="146"/>
      <c r="AG155" s="128"/>
      <c r="AH155" s="146"/>
      <c r="AI155" s="128"/>
      <c r="AJ155" s="146"/>
      <c r="AK155" s="128"/>
      <c r="AL155" s="146"/>
      <c r="AM155" s="128"/>
      <c r="AN155" s="146"/>
    </row>
    <row r="156" spans="1:40" s="121" customFormat="1" ht="15" customHeight="1">
      <c r="A156" s="129" t="s">
        <v>399</v>
      </c>
      <c r="B156" s="130" t="s">
        <v>158</v>
      </c>
      <c r="C156" s="131">
        <v>140401</v>
      </c>
      <c r="D156" s="131">
        <v>15</v>
      </c>
      <c r="E156" s="128">
        <f>(293*2)+(1604*2)</f>
        <v>3794</v>
      </c>
      <c r="F156" s="146">
        <f>(293*2)+(1684*2)</f>
        <v>3954</v>
      </c>
      <c r="G156" s="128">
        <f>(293*2)+(6416*2)</f>
        <v>13418</v>
      </c>
      <c r="H156" s="146">
        <f>(293*2)+(6737*2)</f>
        <v>14060</v>
      </c>
      <c r="I156" s="128">
        <f>(293*2)+(1925*2)</f>
        <v>4436</v>
      </c>
      <c r="J156" s="146">
        <f>(293*2)+(2022*2)</f>
        <v>4630</v>
      </c>
      <c r="K156" s="128">
        <f>(293*2)+(7700*2)</f>
        <v>15986</v>
      </c>
      <c r="L156" s="146">
        <f>(293*2)+(8085*2)</f>
        <v>16756</v>
      </c>
      <c r="M156" s="128"/>
      <c r="N156" s="146"/>
      <c r="O156" s="128"/>
      <c r="P156" s="146"/>
      <c r="Q156" s="128">
        <f>(293*2)+(4886*2)</f>
        <v>10358</v>
      </c>
      <c r="R156" s="146">
        <f>(293*2)+(5386*2)</f>
        <v>11358</v>
      </c>
      <c r="S156" s="128">
        <f>(293*2)+(14988*2)</f>
        <v>30562</v>
      </c>
      <c r="T156" s="146">
        <f>(293*2)+(15488*2)</f>
        <v>31562</v>
      </c>
      <c r="U156" s="128">
        <f>(293*2)+(3681*2)</f>
        <v>7948</v>
      </c>
      <c r="V156" s="146">
        <f>(293*2)+(4181*2)</f>
        <v>8948</v>
      </c>
      <c r="W156" s="128">
        <f>(293*2)+(14724*2)</f>
        <v>30034</v>
      </c>
      <c r="X156" s="146">
        <f>(293*2)+(16724*2)</f>
        <v>34034</v>
      </c>
      <c r="Y156" s="128"/>
      <c r="Z156" s="146"/>
      <c r="AA156" s="128"/>
      <c r="AB156" s="146"/>
      <c r="AC156" s="128"/>
      <c r="AD156" s="146"/>
      <c r="AE156" s="128"/>
      <c r="AF156" s="146"/>
      <c r="AG156" s="128"/>
      <c r="AH156" s="146"/>
      <c r="AI156" s="128"/>
      <c r="AJ156" s="146"/>
      <c r="AK156" s="128"/>
      <c r="AL156" s="146"/>
      <c r="AM156" s="128"/>
      <c r="AN156" s="146"/>
    </row>
    <row r="157" spans="1:40" s="121" customFormat="1" ht="15" customHeight="1">
      <c r="A157" s="129" t="s">
        <v>399</v>
      </c>
      <c r="B157" s="130" t="s">
        <v>159</v>
      </c>
      <c r="C157" s="131">
        <v>141097</v>
      </c>
      <c r="D157" s="131">
        <v>15</v>
      </c>
      <c r="E157" s="128">
        <f>(221*2)+(1156*2)</f>
        <v>2754</v>
      </c>
      <c r="F157" s="146">
        <f>(232*2)+(1214*2)</f>
        <v>2892</v>
      </c>
      <c r="G157" s="128">
        <f>(221*2)+(4624*2)</f>
        <v>9690</v>
      </c>
      <c r="H157" s="146">
        <f>(232*2)+(4855*2)</f>
        <v>10174</v>
      </c>
      <c r="I157" s="128">
        <f>(221*2)+(1387*2)</f>
        <v>3216</v>
      </c>
      <c r="J157" s="146">
        <f>(232*2)+(1456*2)</f>
        <v>3376</v>
      </c>
      <c r="K157" s="128">
        <f>(221*2)+(5548*2)</f>
        <v>11538</v>
      </c>
      <c r="L157" s="146">
        <f>(232*2)+(5825*2)</f>
        <v>12114</v>
      </c>
      <c r="M157" s="128"/>
      <c r="N157" s="146"/>
      <c r="O157" s="128"/>
      <c r="P157" s="146"/>
      <c r="Q157" s="128"/>
      <c r="R157" s="146"/>
      <c r="S157" s="128"/>
      <c r="T157" s="146"/>
      <c r="U157" s="128"/>
      <c r="V157" s="146"/>
      <c r="W157" s="128"/>
      <c r="X157" s="146"/>
      <c r="Y157" s="128"/>
      <c r="Z157" s="146"/>
      <c r="AA157" s="128"/>
      <c r="AB157" s="146"/>
      <c r="AC157" s="128"/>
      <c r="AD157" s="146"/>
      <c r="AE157" s="128"/>
      <c r="AF157" s="146"/>
      <c r="AG157" s="128"/>
      <c r="AH157" s="146"/>
      <c r="AI157" s="128"/>
      <c r="AJ157" s="146"/>
      <c r="AK157" s="128"/>
      <c r="AL157" s="146"/>
      <c r="AM157" s="128"/>
      <c r="AN157" s="146"/>
    </row>
    <row r="158" spans="1:40" s="121" customFormat="1" ht="15" customHeight="1">
      <c r="A158" s="110" t="s">
        <v>399</v>
      </c>
      <c r="B158" s="111" t="s">
        <v>160</v>
      </c>
      <c r="C158" s="112">
        <v>138682</v>
      </c>
      <c r="D158" s="112">
        <v>12</v>
      </c>
      <c r="E158" s="128">
        <v>1110</v>
      </c>
      <c r="F158" s="146">
        <v>1146</v>
      </c>
      <c r="G158" s="128">
        <v>2082</v>
      </c>
      <c r="H158" s="146">
        <v>2154</v>
      </c>
      <c r="I158" s="128"/>
      <c r="J158" s="146"/>
      <c r="K158" s="128"/>
      <c r="L158" s="146"/>
      <c r="M158" s="128"/>
      <c r="N158" s="146"/>
      <c r="O158" s="128"/>
      <c r="P158" s="146"/>
      <c r="Q158" s="128"/>
      <c r="R158" s="146"/>
      <c r="S158" s="128"/>
      <c r="T158" s="146"/>
      <c r="U158" s="128"/>
      <c r="V158" s="146"/>
      <c r="W158" s="128"/>
      <c r="X158" s="146"/>
      <c r="Y158" s="128"/>
      <c r="Z158" s="146"/>
      <c r="AA158" s="128"/>
      <c r="AB158" s="146"/>
      <c r="AC158" s="128"/>
      <c r="AD158" s="146"/>
      <c r="AE158" s="128"/>
      <c r="AF158" s="146"/>
      <c r="AG158" s="128"/>
      <c r="AH158" s="146"/>
      <c r="AI158" s="128"/>
      <c r="AJ158" s="146"/>
      <c r="AK158" s="128"/>
      <c r="AL158" s="146"/>
      <c r="AM158" s="128"/>
      <c r="AN158" s="146"/>
    </row>
    <row r="159" spans="1:40" s="121" customFormat="1" ht="15" customHeight="1">
      <c r="A159" s="110" t="s">
        <v>399</v>
      </c>
      <c r="B159" s="111" t="s">
        <v>161</v>
      </c>
      <c r="C159" s="112">
        <v>366447</v>
      </c>
      <c r="D159" s="112">
        <v>12</v>
      </c>
      <c r="E159" s="128">
        <v>1110</v>
      </c>
      <c r="F159" s="146">
        <v>1146</v>
      </c>
      <c r="G159" s="128">
        <v>2082</v>
      </c>
      <c r="H159" s="146">
        <v>2154</v>
      </c>
      <c r="I159" s="128"/>
      <c r="J159" s="146"/>
      <c r="K159" s="128"/>
      <c r="L159" s="146"/>
      <c r="M159" s="128"/>
      <c r="N159" s="146"/>
      <c r="O159" s="128"/>
      <c r="P159" s="146"/>
      <c r="Q159" s="128"/>
      <c r="R159" s="146"/>
      <c r="S159" s="128"/>
      <c r="T159" s="146"/>
      <c r="U159" s="128"/>
      <c r="V159" s="146"/>
      <c r="W159" s="128"/>
      <c r="X159" s="146"/>
      <c r="Y159" s="128"/>
      <c r="Z159" s="146"/>
      <c r="AA159" s="128"/>
      <c r="AB159" s="146"/>
      <c r="AC159" s="128"/>
      <c r="AD159" s="146"/>
      <c r="AE159" s="128"/>
      <c r="AF159" s="146"/>
      <c r="AG159" s="128"/>
      <c r="AH159" s="146"/>
      <c r="AI159" s="128"/>
      <c r="AJ159" s="146"/>
      <c r="AK159" s="128"/>
      <c r="AL159" s="146"/>
      <c r="AM159" s="128"/>
      <c r="AN159" s="146"/>
    </row>
    <row r="160" spans="1:40" s="121" customFormat="1" ht="15" customHeight="1">
      <c r="A160" s="110" t="s">
        <v>399</v>
      </c>
      <c r="B160" s="111" t="s">
        <v>162</v>
      </c>
      <c r="C160" s="112">
        <v>246813</v>
      </c>
      <c r="D160" s="112">
        <v>12</v>
      </c>
      <c r="E160" s="128">
        <v>1248</v>
      </c>
      <c r="F160" s="146">
        <v>1146</v>
      </c>
      <c r="G160" s="128">
        <v>2496</v>
      </c>
      <c r="H160" s="146">
        <v>2154</v>
      </c>
      <c r="I160" s="128"/>
      <c r="J160" s="146"/>
      <c r="K160" s="128"/>
      <c r="L160" s="146"/>
      <c r="M160" s="128"/>
      <c r="N160" s="146"/>
      <c r="O160" s="128"/>
      <c r="P160" s="146"/>
      <c r="Q160" s="128"/>
      <c r="R160" s="146"/>
      <c r="S160" s="128"/>
      <c r="T160" s="146"/>
      <c r="U160" s="128"/>
      <c r="V160" s="146"/>
      <c r="W160" s="128"/>
      <c r="X160" s="146"/>
      <c r="Y160" s="128"/>
      <c r="Z160" s="146"/>
      <c r="AA160" s="128"/>
      <c r="AB160" s="146"/>
      <c r="AC160" s="128"/>
      <c r="AD160" s="146"/>
      <c r="AE160" s="128"/>
      <c r="AF160" s="146"/>
      <c r="AG160" s="128"/>
      <c r="AH160" s="146"/>
      <c r="AI160" s="128"/>
      <c r="AJ160" s="146"/>
      <c r="AK160" s="128"/>
      <c r="AL160" s="146"/>
      <c r="AM160" s="128"/>
      <c r="AN160" s="146"/>
    </row>
    <row r="161" spans="1:40" s="121" customFormat="1" ht="15" customHeight="1">
      <c r="A161" s="110" t="s">
        <v>399</v>
      </c>
      <c r="B161" s="111" t="s">
        <v>163</v>
      </c>
      <c r="C161" s="112">
        <v>138840</v>
      </c>
      <c r="D161" s="112">
        <v>12</v>
      </c>
      <c r="E161" s="128">
        <v>1296</v>
      </c>
      <c r="F161" s="146">
        <v>1149</v>
      </c>
      <c r="G161" s="128">
        <v>2592</v>
      </c>
      <c r="H161" s="146">
        <v>2157</v>
      </c>
      <c r="I161" s="128"/>
      <c r="J161" s="146"/>
      <c r="K161" s="128"/>
      <c r="L161" s="146"/>
      <c r="M161" s="128"/>
      <c r="N161" s="146"/>
      <c r="O161" s="128"/>
      <c r="P161" s="146"/>
      <c r="Q161" s="128"/>
      <c r="R161" s="146"/>
      <c r="S161" s="128"/>
      <c r="T161" s="146"/>
      <c r="U161" s="128"/>
      <c r="V161" s="146"/>
      <c r="W161" s="128"/>
      <c r="X161" s="146"/>
      <c r="Y161" s="128"/>
      <c r="Z161" s="146"/>
      <c r="AA161" s="128"/>
      <c r="AB161" s="146"/>
      <c r="AC161" s="128"/>
      <c r="AD161" s="146"/>
      <c r="AE161" s="128"/>
      <c r="AF161" s="146"/>
      <c r="AG161" s="128"/>
      <c r="AH161" s="146"/>
      <c r="AI161" s="128"/>
      <c r="AJ161" s="146"/>
      <c r="AK161" s="128"/>
      <c r="AL161" s="146"/>
      <c r="AM161" s="128"/>
      <c r="AN161" s="146"/>
    </row>
    <row r="162" spans="1:40" s="121" customFormat="1" ht="15" customHeight="1">
      <c r="A162" s="110" t="s">
        <v>399</v>
      </c>
      <c r="B162" s="111" t="s">
        <v>164</v>
      </c>
      <c r="C162" s="112">
        <v>138956</v>
      </c>
      <c r="D162" s="112">
        <v>12</v>
      </c>
      <c r="E162" s="128">
        <v>1122</v>
      </c>
      <c r="F162" s="146">
        <v>1158</v>
      </c>
      <c r="G162" s="128">
        <v>2504</v>
      </c>
      <c r="H162" s="146">
        <v>2166</v>
      </c>
      <c r="I162" s="128"/>
      <c r="J162" s="146"/>
      <c r="K162" s="128"/>
      <c r="L162" s="146"/>
      <c r="M162" s="128"/>
      <c r="N162" s="146"/>
      <c r="O162" s="128"/>
      <c r="P162" s="146"/>
      <c r="Q162" s="128"/>
      <c r="R162" s="146"/>
      <c r="S162" s="128"/>
      <c r="T162" s="146"/>
      <c r="U162" s="128"/>
      <c r="V162" s="146"/>
      <c r="W162" s="128"/>
      <c r="X162" s="146"/>
      <c r="Y162" s="128"/>
      <c r="Z162" s="146"/>
      <c r="AA162" s="128"/>
      <c r="AB162" s="146"/>
      <c r="AC162" s="128"/>
      <c r="AD162" s="146"/>
      <c r="AE162" s="128"/>
      <c r="AF162" s="146"/>
      <c r="AG162" s="128"/>
      <c r="AH162" s="146"/>
      <c r="AI162" s="128"/>
      <c r="AJ162" s="146"/>
      <c r="AK162" s="128"/>
      <c r="AL162" s="146"/>
      <c r="AM162" s="128"/>
      <c r="AN162" s="146"/>
    </row>
    <row r="163" spans="1:40" s="121" customFormat="1" ht="15" customHeight="1">
      <c r="A163" s="110" t="s">
        <v>399</v>
      </c>
      <c r="B163" s="111" t="s">
        <v>165</v>
      </c>
      <c r="C163" s="112">
        <v>140304</v>
      </c>
      <c r="D163" s="112">
        <v>12</v>
      </c>
      <c r="E163" s="128">
        <v>1110</v>
      </c>
      <c r="F163" s="146">
        <v>1146</v>
      </c>
      <c r="G163" s="128">
        <v>2220</v>
      </c>
      <c r="H163" s="146">
        <v>2292</v>
      </c>
      <c r="I163" s="128"/>
      <c r="J163" s="146"/>
      <c r="K163" s="128"/>
      <c r="L163" s="146"/>
      <c r="M163" s="128"/>
      <c r="N163" s="146"/>
      <c r="O163" s="128"/>
      <c r="P163" s="146"/>
      <c r="Q163" s="128"/>
      <c r="R163" s="146"/>
      <c r="S163" s="128"/>
      <c r="T163" s="146"/>
      <c r="U163" s="128"/>
      <c r="V163" s="146"/>
      <c r="W163" s="128"/>
      <c r="X163" s="146"/>
      <c r="Y163" s="128"/>
      <c r="Z163" s="146"/>
      <c r="AA163" s="128"/>
      <c r="AB163" s="146"/>
      <c r="AC163" s="128"/>
      <c r="AD163" s="146"/>
      <c r="AE163" s="128"/>
      <c r="AF163" s="146"/>
      <c r="AG163" s="128"/>
      <c r="AH163" s="146"/>
      <c r="AI163" s="128"/>
      <c r="AJ163" s="146"/>
      <c r="AK163" s="128"/>
      <c r="AL163" s="146"/>
      <c r="AM163" s="128"/>
      <c r="AN163" s="146"/>
    </row>
    <row r="164" spans="1:40" s="121" customFormat="1" ht="15" customHeight="1">
      <c r="A164" s="110" t="s">
        <v>399</v>
      </c>
      <c r="B164" s="111" t="s">
        <v>166</v>
      </c>
      <c r="C164" s="112">
        <v>140331</v>
      </c>
      <c r="D164" s="112">
        <v>12</v>
      </c>
      <c r="E164" s="128">
        <v>1131</v>
      </c>
      <c r="F164" s="146">
        <v>1167</v>
      </c>
      <c r="G164" s="128">
        <v>2103</v>
      </c>
      <c r="H164" s="146">
        <v>2175</v>
      </c>
      <c r="I164" s="128"/>
      <c r="J164" s="146"/>
      <c r="K164" s="128"/>
      <c r="L164" s="146"/>
      <c r="M164" s="128"/>
      <c r="N164" s="146"/>
      <c r="O164" s="128"/>
      <c r="P164" s="146"/>
      <c r="Q164" s="128"/>
      <c r="R164" s="146"/>
      <c r="S164" s="128"/>
      <c r="T164" s="146"/>
      <c r="U164" s="128"/>
      <c r="V164" s="146"/>
      <c r="W164" s="128"/>
      <c r="X164" s="146"/>
      <c r="Y164" s="128"/>
      <c r="Z164" s="146"/>
      <c r="AA164" s="128"/>
      <c r="AB164" s="146"/>
      <c r="AC164" s="128"/>
      <c r="AD164" s="146"/>
      <c r="AE164" s="128"/>
      <c r="AF164" s="146"/>
      <c r="AG164" s="128"/>
      <c r="AH164" s="146"/>
      <c r="AI164" s="128"/>
      <c r="AJ164" s="146"/>
      <c r="AK164" s="128"/>
      <c r="AL164" s="146"/>
      <c r="AM164" s="128"/>
      <c r="AN164" s="146"/>
    </row>
    <row r="165" spans="1:40" s="121" customFormat="1" ht="15" customHeight="1">
      <c r="A165" s="110" t="s">
        <v>399</v>
      </c>
      <c r="B165" s="111" t="s">
        <v>167</v>
      </c>
      <c r="C165" s="112">
        <v>139357</v>
      </c>
      <c r="D165" s="112">
        <v>12</v>
      </c>
      <c r="E165" s="128">
        <v>1137</v>
      </c>
      <c r="F165" s="146">
        <v>1173</v>
      </c>
      <c r="G165" s="128">
        <v>2109</v>
      </c>
      <c r="H165" s="146">
        <v>2181</v>
      </c>
      <c r="I165" s="128"/>
      <c r="J165" s="146"/>
      <c r="K165" s="128"/>
      <c r="L165" s="146"/>
      <c r="M165" s="128"/>
      <c r="N165" s="146"/>
      <c r="O165" s="128"/>
      <c r="P165" s="146"/>
      <c r="Q165" s="128"/>
      <c r="R165" s="146"/>
      <c r="S165" s="128"/>
      <c r="T165" s="146"/>
      <c r="U165" s="128"/>
      <c r="V165" s="146"/>
      <c r="W165" s="128"/>
      <c r="X165" s="146"/>
      <c r="Y165" s="128"/>
      <c r="Z165" s="146"/>
      <c r="AA165" s="128"/>
      <c r="AB165" s="146"/>
      <c r="AC165" s="128"/>
      <c r="AD165" s="146"/>
      <c r="AE165" s="128"/>
      <c r="AF165" s="146"/>
      <c r="AG165" s="128"/>
      <c r="AH165" s="146"/>
      <c r="AI165" s="128"/>
      <c r="AJ165" s="146"/>
      <c r="AK165" s="128"/>
      <c r="AL165" s="146"/>
      <c r="AM165" s="128"/>
      <c r="AN165" s="146"/>
    </row>
    <row r="166" spans="1:40" s="121" customFormat="1" ht="15" customHeight="1">
      <c r="A166" s="110" t="s">
        <v>399</v>
      </c>
      <c r="B166" s="111" t="s">
        <v>168</v>
      </c>
      <c r="C166" s="112">
        <v>139384</v>
      </c>
      <c r="D166" s="112">
        <v>12</v>
      </c>
      <c r="E166" s="128">
        <v>1110</v>
      </c>
      <c r="F166" s="146">
        <v>1146</v>
      </c>
      <c r="G166" s="128">
        <v>2082</v>
      </c>
      <c r="H166" s="146">
        <v>2154</v>
      </c>
      <c r="I166" s="128"/>
      <c r="J166" s="146"/>
      <c r="K166" s="128"/>
      <c r="L166" s="146"/>
      <c r="M166" s="128"/>
      <c r="N166" s="146"/>
      <c r="O166" s="128"/>
      <c r="P166" s="146"/>
      <c r="Q166" s="128"/>
      <c r="R166" s="146"/>
      <c r="S166" s="128"/>
      <c r="T166" s="146"/>
      <c r="U166" s="128"/>
      <c r="V166" s="146"/>
      <c r="W166" s="128"/>
      <c r="X166" s="146"/>
      <c r="Y166" s="128"/>
      <c r="Z166" s="146"/>
      <c r="AA166" s="128"/>
      <c r="AB166" s="146"/>
      <c r="AC166" s="128"/>
      <c r="AD166" s="146"/>
      <c r="AE166" s="128"/>
      <c r="AF166" s="146"/>
      <c r="AG166" s="128"/>
      <c r="AH166" s="146"/>
      <c r="AI166" s="128"/>
      <c r="AJ166" s="146"/>
      <c r="AK166" s="128"/>
      <c r="AL166" s="146"/>
      <c r="AM166" s="128"/>
      <c r="AN166" s="146"/>
    </row>
    <row r="167" spans="1:40" s="121" customFormat="1" ht="15" customHeight="1">
      <c r="A167" s="110" t="s">
        <v>399</v>
      </c>
      <c r="B167" s="111" t="s">
        <v>169</v>
      </c>
      <c r="C167" s="112">
        <v>244446</v>
      </c>
      <c r="D167" s="112">
        <v>12</v>
      </c>
      <c r="E167" s="128">
        <v>1158</v>
      </c>
      <c r="F167" s="146">
        <v>1194</v>
      </c>
      <c r="G167" s="128">
        <v>2130</v>
      </c>
      <c r="H167" s="146">
        <v>2202</v>
      </c>
      <c r="I167" s="128"/>
      <c r="J167" s="146"/>
      <c r="K167" s="128"/>
      <c r="L167" s="146"/>
      <c r="M167" s="128"/>
      <c r="N167" s="146"/>
      <c r="O167" s="128"/>
      <c r="P167" s="146"/>
      <c r="Q167" s="128"/>
      <c r="R167" s="146"/>
      <c r="S167" s="128"/>
      <c r="T167" s="146"/>
      <c r="U167" s="128"/>
      <c r="V167" s="146"/>
      <c r="W167" s="128"/>
      <c r="X167" s="146"/>
      <c r="Y167" s="128"/>
      <c r="Z167" s="146"/>
      <c r="AA167" s="128"/>
      <c r="AB167" s="146"/>
      <c r="AC167" s="128"/>
      <c r="AD167" s="146"/>
      <c r="AE167" s="128"/>
      <c r="AF167" s="146"/>
      <c r="AG167" s="128"/>
      <c r="AH167" s="146"/>
      <c r="AI167" s="128"/>
      <c r="AJ167" s="146"/>
      <c r="AK167" s="128"/>
      <c r="AL167" s="146"/>
      <c r="AM167" s="128"/>
      <c r="AN167" s="146"/>
    </row>
    <row r="168" spans="1:40" s="121" customFormat="1" ht="15" customHeight="1">
      <c r="A168" s="110" t="s">
        <v>399</v>
      </c>
      <c r="B168" s="111" t="s">
        <v>170</v>
      </c>
      <c r="C168" s="112">
        <v>139126</v>
      </c>
      <c r="D168" s="112">
        <v>12</v>
      </c>
      <c r="E168" s="128">
        <v>1131</v>
      </c>
      <c r="F168" s="146">
        <v>1167</v>
      </c>
      <c r="G168" s="128">
        <v>2103</v>
      </c>
      <c r="H168" s="146">
        <v>2175</v>
      </c>
      <c r="I168" s="128"/>
      <c r="J168" s="146"/>
      <c r="K168" s="128"/>
      <c r="L168" s="146"/>
      <c r="M168" s="128"/>
      <c r="N168" s="146"/>
      <c r="O168" s="128"/>
      <c r="P168" s="146"/>
      <c r="Q168" s="128"/>
      <c r="R168" s="146"/>
      <c r="S168" s="128"/>
      <c r="T168" s="146"/>
      <c r="U168" s="128"/>
      <c r="V168" s="146"/>
      <c r="W168" s="128"/>
      <c r="X168" s="146"/>
      <c r="Y168" s="128"/>
      <c r="Z168" s="146"/>
      <c r="AA168" s="128"/>
      <c r="AB168" s="146"/>
      <c r="AC168" s="128"/>
      <c r="AD168" s="146"/>
      <c r="AE168" s="128"/>
      <c r="AF168" s="146"/>
      <c r="AG168" s="128"/>
      <c r="AH168" s="146"/>
      <c r="AI168" s="128"/>
      <c r="AJ168" s="146"/>
      <c r="AK168" s="128"/>
      <c r="AL168" s="146"/>
      <c r="AM168" s="128"/>
      <c r="AN168" s="146"/>
    </row>
    <row r="169" spans="1:40" s="121" customFormat="1" ht="15" customHeight="1">
      <c r="A169" s="110" t="s">
        <v>399</v>
      </c>
      <c r="B169" s="111" t="s">
        <v>171</v>
      </c>
      <c r="C169" s="112">
        <v>248794</v>
      </c>
      <c r="D169" s="112">
        <v>12</v>
      </c>
      <c r="E169" s="128">
        <v>1110</v>
      </c>
      <c r="F169" s="146">
        <v>1146</v>
      </c>
      <c r="G169" s="128">
        <v>2082</v>
      </c>
      <c r="H169" s="146">
        <v>2154</v>
      </c>
      <c r="I169" s="128"/>
      <c r="J169" s="146"/>
      <c r="K169" s="128"/>
      <c r="L169" s="146"/>
      <c r="M169" s="128"/>
      <c r="N169" s="146"/>
      <c r="O169" s="128"/>
      <c r="P169" s="146"/>
      <c r="Q169" s="128"/>
      <c r="R169" s="146"/>
      <c r="S169" s="128"/>
      <c r="T169" s="146"/>
      <c r="U169" s="128"/>
      <c r="V169" s="146"/>
      <c r="W169" s="128"/>
      <c r="X169" s="146"/>
      <c r="Y169" s="128"/>
      <c r="Z169" s="146"/>
      <c r="AA169" s="128"/>
      <c r="AB169" s="146"/>
      <c r="AC169" s="128"/>
      <c r="AD169" s="146"/>
      <c r="AE169" s="128"/>
      <c r="AF169" s="146"/>
      <c r="AG169" s="128"/>
      <c r="AH169" s="146"/>
      <c r="AI169" s="128"/>
      <c r="AJ169" s="146"/>
      <c r="AK169" s="128"/>
      <c r="AL169" s="146"/>
      <c r="AM169" s="128"/>
      <c r="AN169" s="146"/>
    </row>
    <row r="170" spans="1:40" s="121" customFormat="1" ht="15" customHeight="1">
      <c r="A170" s="110" t="s">
        <v>399</v>
      </c>
      <c r="B170" s="111" t="s">
        <v>172</v>
      </c>
      <c r="C170" s="112">
        <v>139986</v>
      </c>
      <c r="D170" s="112">
        <v>12</v>
      </c>
      <c r="E170" s="128">
        <v>1068</v>
      </c>
      <c r="F170" s="146">
        <v>1146</v>
      </c>
      <c r="G170" s="128">
        <v>2004</v>
      </c>
      <c r="H170" s="146">
        <v>2154</v>
      </c>
      <c r="I170" s="128"/>
      <c r="J170" s="146"/>
      <c r="K170" s="128"/>
      <c r="L170" s="146"/>
      <c r="M170" s="128"/>
      <c r="N170" s="146"/>
      <c r="O170" s="128"/>
      <c r="P170" s="146"/>
      <c r="Q170" s="128"/>
      <c r="R170" s="146"/>
      <c r="S170" s="128"/>
      <c r="T170" s="146"/>
      <c r="U170" s="128"/>
      <c r="V170" s="146"/>
      <c r="W170" s="128"/>
      <c r="X170" s="146"/>
      <c r="Y170" s="128"/>
      <c r="Z170" s="146"/>
      <c r="AA170" s="128"/>
      <c r="AB170" s="146"/>
      <c r="AC170" s="128"/>
      <c r="AD170" s="146"/>
      <c r="AE170" s="128"/>
      <c r="AF170" s="146"/>
      <c r="AG170" s="128"/>
      <c r="AH170" s="146"/>
      <c r="AI170" s="128"/>
      <c r="AJ170" s="146"/>
      <c r="AK170" s="128"/>
      <c r="AL170" s="146"/>
      <c r="AM170" s="128"/>
      <c r="AN170" s="146"/>
    </row>
    <row r="171" spans="1:40" s="121" customFormat="1" ht="15" customHeight="1">
      <c r="A171" s="110" t="s">
        <v>399</v>
      </c>
      <c r="B171" s="111" t="s">
        <v>173</v>
      </c>
      <c r="C171" s="112">
        <v>140012</v>
      </c>
      <c r="D171" s="112">
        <v>12</v>
      </c>
      <c r="E171" s="128">
        <v>1164</v>
      </c>
      <c r="F171" s="146">
        <v>1212</v>
      </c>
      <c r="G171" s="128">
        <v>2136</v>
      </c>
      <c r="H171" s="146">
        <v>2220</v>
      </c>
      <c r="I171" s="128"/>
      <c r="J171" s="146"/>
      <c r="K171" s="128"/>
      <c r="L171" s="146"/>
      <c r="M171" s="128"/>
      <c r="N171" s="146"/>
      <c r="O171" s="128"/>
      <c r="P171" s="146"/>
      <c r="Q171" s="128"/>
      <c r="R171" s="146"/>
      <c r="S171" s="128"/>
      <c r="T171" s="146"/>
      <c r="U171" s="128"/>
      <c r="V171" s="146"/>
      <c r="W171" s="128"/>
      <c r="X171" s="146"/>
      <c r="Y171" s="128"/>
      <c r="Z171" s="146"/>
      <c r="AA171" s="128"/>
      <c r="AB171" s="146"/>
      <c r="AC171" s="128"/>
      <c r="AD171" s="146"/>
      <c r="AE171" s="128"/>
      <c r="AF171" s="146"/>
      <c r="AG171" s="128"/>
      <c r="AH171" s="146"/>
      <c r="AI171" s="128"/>
      <c r="AJ171" s="146"/>
      <c r="AK171" s="128"/>
      <c r="AL171" s="146"/>
      <c r="AM171" s="128"/>
      <c r="AN171" s="146"/>
    </row>
    <row r="172" spans="1:40" s="121" customFormat="1" ht="15" customHeight="1">
      <c r="A172" s="110" t="s">
        <v>399</v>
      </c>
      <c r="B172" s="111" t="s">
        <v>174</v>
      </c>
      <c r="C172" s="112">
        <v>140076</v>
      </c>
      <c r="D172" s="112">
        <v>12</v>
      </c>
      <c r="E172" s="128">
        <v>1122</v>
      </c>
      <c r="F172" s="146">
        <v>1158</v>
      </c>
      <c r="G172" s="128">
        <v>2094</v>
      </c>
      <c r="H172" s="146">
        <v>2166</v>
      </c>
      <c r="I172" s="128"/>
      <c r="J172" s="146"/>
      <c r="K172" s="128"/>
      <c r="L172" s="146"/>
      <c r="M172" s="128"/>
      <c r="N172" s="146"/>
      <c r="O172" s="128"/>
      <c r="P172" s="146"/>
      <c r="Q172" s="128"/>
      <c r="R172" s="146"/>
      <c r="S172" s="128"/>
      <c r="T172" s="146"/>
      <c r="U172" s="128"/>
      <c r="V172" s="146"/>
      <c r="W172" s="128"/>
      <c r="X172" s="146"/>
      <c r="Y172" s="128"/>
      <c r="Z172" s="146"/>
      <c r="AA172" s="128"/>
      <c r="AB172" s="146"/>
      <c r="AC172" s="128"/>
      <c r="AD172" s="146"/>
      <c r="AE172" s="128"/>
      <c r="AF172" s="146"/>
      <c r="AG172" s="128"/>
      <c r="AH172" s="146"/>
      <c r="AI172" s="128"/>
      <c r="AJ172" s="146"/>
      <c r="AK172" s="128"/>
      <c r="AL172" s="146"/>
      <c r="AM172" s="128"/>
      <c r="AN172" s="146"/>
    </row>
    <row r="173" spans="1:40" s="121" customFormat="1" ht="15" customHeight="1">
      <c r="A173" s="110" t="s">
        <v>399</v>
      </c>
      <c r="B173" s="111" t="s">
        <v>175</v>
      </c>
      <c r="C173" s="112">
        <v>140243</v>
      </c>
      <c r="D173" s="112">
        <v>12</v>
      </c>
      <c r="E173" s="128">
        <v>1137</v>
      </c>
      <c r="F173" s="146">
        <v>1173</v>
      </c>
      <c r="G173" s="128">
        <v>2109</v>
      </c>
      <c r="H173" s="146">
        <v>2181</v>
      </c>
      <c r="I173" s="128"/>
      <c r="J173" s="146"/>
      <c r="K173" s="128"/>
      <c r="L173" s="146"/>
      <c r="M173" s="128"/>
      <c r="N173" s="146"/>
      <c r="O173" s="128"/>
      <c r="P173" s="146"/>
      <c r="Q173" s="128"/>
      <c r="R173" s="146"/>
      <c r="S173" s="128"/>
      <c r="T173" s="146"/>
      <c r="U173" s="128"/>
      <c r="V173" s="146"/>
      <c r="W173" s="128"/>
      <c r="X173" s="146"/>
      <c r="Y173" s="128"/>
      <c r="Z173" s="146"/>
      <c r="AA173" s="128"/>
      <c r="AB173" s="146"/>
      <c r="AC173" s="128"/>
      <c r="AD173" s="146"/>
      <c r="AE173" s="128"/>
      <c r="AF173" s="146"/>
      <c r="AG173" s="128"/>
      <c r="AH173" s="146"/>
      <c r="AI173" s="128"/>
      <c r="AJ173" s="146"/>
      <c r="AK173" s="128"/>
      <c r="AL173" s="146"/>
      <c r="AM173" s="128"/>
      <c r="AN173" s="146"/>
    </row>
    <row r="174" spans="1:40" s="121" customFormat="1" ht="15" customHeight="1">
      <c r="A174" s="110" t="s">
        <v>399</v>
      </c>
      <c r="B174" s="111" t="s">
        <v>176</v>
      </c>
      <c r="C174" s="112">
        <v>140085</v>
      </c>
      <c r="D174" s="112">
        <v>12</v>
      </c>
      <c r="E174" s="128">
        <v>1110</v>
      </c>
      <c r="F174" s="146">
        <v>1146</v>
      </c>
      <c r="G174" s="128">
        <v>2082</v>
      </c>
      <c r="H174" s="146">
        <v>2154</v>
      </c>
      <c r="I174" s="128"/>
      <c r="J174" s="146"/>
      <c r="K174" s="128"/>
      <c r="L174" s="146"/>
      <c r="M174" s="128"/>
      <c r="N174" s="146"/>
      <c r="O174" s="128"/>
      <c r="P174" s="146"/>
      <c r="Q174" s="128"/>
      <c r="R174" s="146"/>
      <c r="S174" s="128"/>
      <c r="T174" s="146"/>
      <c r="U174" s="128"/>
      <c r="V174" s="146"/>
      <c r="W174" s="128"/>
      <c r="X174" s="146"/>
      <c r="Y174" s="128"/>
      <c r="Z174" s="146"/>
      <c r="AA174" s="128"/>
      <c r="AB174" s="146"/>
      <c r="AC174" s="128"/>
      <c r="AD174" s="146"/>
      <c r="AE174" s="128"/>
      <c r="AF174" s="146"/>
      <c r="AG174" s="128"/>
      <c r="AH174" s="146"/>
      <c r="AI174" s="128"/>
      <c r="AJ174" s="146"/>
      <c r="AK174" s="128"/>
      <c r="AL174" s="146"/>
      <c r="AM174" s="128"/>
      <c r="AN174" s="146"/>
    </row>
    <row r="175" spans="1:40" s="121" customFormat="1" ht="15" customHeight="1">
      <c r="A175" s="110" t="s">
        <v>399</v>
      </c>
      <c r="B175" s="111" t="s">
        <v>177</v>
      </c>
      <c r="C175" s="112">
        <v>140599</v>
      </c>
      <c r="D175" s="112">
        <v>12</v>
      </c>
      <c r="E175" s="128">
        <v>1110</v>
      </c>
      <c r="F175" s="146">
        <v>1146</v>
      </c>
      <c r="G175" s="128">
        <v>2082</v>
      </c>
      <c r="H175" s="146">
        <v>2154</v>
      </c>
      <c r="I175" s="128"/>
      <c r="J175" s="146"/>
      <c r="K175" s="128"/>
      <c r="L175" s="146"/>
      <c r="M175" s="128"/>
      <c r="N175" s="146"/>
      <c r="O175" s="128"/>
      <c r="P175" s="146"/>
      <c r="Q175" s="128"/>
      <c r="R175" s="146"/>
      <c r="S175" s="128"/>
      <c r="T175" s="146"/>
      <c r="U175" s="128"/>
      <c r="V175" s="146"/>
      <c r="W175" s="128"/>
      <c r="X175" s="146"/>
      <c r="Y175" s="128"/>
      <c r="Z175" s="146"/>
      <c r="AA175" s="128"/>
      <c r="AB175" s="146"/>
      <c r="AC175" s="128"/>
      <c r="AD175" s="146"/>
      <c r="AE175" s="128"/>
      <c r="AF175" s="146"/>
      <c r="AG175" s="128"/>
      <c r="AH175" s="146"/>
      <c r="AI175" s="128"/>
      <c r="AJ175" s="146"/>
      <c r="AK175" s="128"/>
      <c r="AL175" s="146"/>
      <c r="AM175" s="128"/>
      <c r="AN175" s="146"/>
    </row>
    <row r="176" spans="1:40" s="121" customFormat="1" ht="15" customHeight="1">
      <c r="A176" s="110" t="s">
        <v>399</v>
      </c>
      <c r="B176" s="111" t="s">
        <v>178</v>
      </c>
      <c r="C176" s="112">
        <v>140678</v>
      </c>
      <c r="D176" s="112">
        <v>12</v>
      </c>
      <c r="E176" s="128">
        <v>1125</v>
      </c>
      <c r="F176" s="146">
        <v>1173</v>
      </c>
      <c r="G176" s="128">
        <v>2097</v>
      </c>
      <c r="H176" s="146">
        <v>2181</v>
      </c>
      <c r="I176" s="128"/>
      <c r="J176" s="146"/>
      <c r="K176" s="128"/>
      <c r="L176" s="146"/>
      <c r="M176" s="128"/>
      <c r="N176" s="146"/>
      <c r="O176" s="128"/>
      <c r="P176" s="146"/>
      <c r="Q176" s="128"/>
      <c r="R176" s="146"/>
      <c r="S176" s="128"/>
      <c r="T176" s="146"/>
      <c r="U176" s="128"/>
      <c r="V176" s="146"/>
      <c r="W176" s="128"/>
      <c r="X176" s="146"/>
      <c r="Y176" s="128"/>
      <c r="Z176" s="146"/>
      <c r="AA176" s="128"/>
      <c r="AB176" s="146"/>
      <c r="AC176" s="128"/>
      <c r="AD176" s="146"/>
      <c r="AE176" s="128"/>
      <c r="AF176" s="146"/>
      <c r="AG176" s="128"/>
      <c r="AH176" s="146"/>
      <c r="AI176" s="128"/>
      <c r="AJ176" s="146"/>
      <c r="AK176" s="128"/>
      <c r="AL176" s="146"/>
      <c r="AM176" s="128"/>
      <c r="AN176" s="146"/>
    </row>
    <row r="177" spans="1:40" s="121" customFormat="1" ht="15" customHeight="1">
      <c r="A177" s="110" t="s">
        <v>399</v>
      </c>
      <c r="B177" s="111" t="s">
        <v>179</v>
      </c>
      <c r="C177" s="112">
        <v>366456</v>
      </c>
      <c r="D177" s="112">
        <v>12</v>
      </c>
      <c r="E177" s="128">
        <v>1110</v>
      </c>
      <c r="F177" s="146">
        <v>1146</v>
      </c>
      <c r="G177" s="128">
        <v>2082</v>
      </c>
      <c r="H177" s="146">
        <v>2154</v>
      </c>
      <c r="I177" s="128"/>
      <c r="J177" s="146"/>
      <c r="K177" s="128"/>
      <c r="L177" s="146"/>
      <c r="M177" s="128"/>
      <c r="N177" s="146"/>
      <c r="O177" s="128"/>
      <c r="P177" s="146"/>
      <c r="Q177" s="128"/>
      <c r="R177" s="146"/>
      <c r="S177" s="128"/>
      <c r="T177" s="146"/>
      <c r="U177" s="128"/>
      <c r="V177" s="146"/>
      <c r="W177" s="128"/>
      <c r="X177" s="146"/>
      <c r="Y177" s="128"/>
      <c r="Z177" s="146"/>
      <c r="AA177" s="128"/>
      <c r="AB177" s="146"/>
      <c r="AC177" s="128"/>
      <c r="AD177" s="146"/>
      <c r="AE177" s="128"/>
      <c r="AF177" s="146"/>
      <c r="AG177" s="128"/>
      <c r="AH177" s="146"/>
      <c r="AI177" s="128"/>
      <c r="AJ177" s="146"/>
      <c r="AK177" s="128"/>
      <c r="AL177" s="146"/>
      <c r="AM177" s="128"/>
      <c r="AN177" s="146"/>
    </row>
    <row r="178" spans="1:40" s="121" customFormat="1" ht="15" customHeight="1">
      <c r="A178" s="110" t="s">
        <v>399</v>
      </c>
      <c r="B178" s="110" t="s">
        <v>180</v>
      </c>
      <c r="C178" s="113">
        <v>141273</v>
      </c>
      <c r="D178" s="112">
        <v>12</v>
      </c>
      <c r="E178" s="128">
        <v>1110</v>
      </c>
      <c r="F178" s="146">
        <v>1146</v>
      </c>
      <c r="G178" s="128">
        <v>2082</v>
      </c>
      <c r="H178" s="146">
        <v>2154</v>
      </c>
      <c r="I178" s="128"/>
      <c r="J178" s="146"/>
      <c r="K178" s="128"/>
      <c r="L178" s="146"/>
      <c r="M178" s="128"/>
      <c r="N178" s="146"/>
      <c r="O178" s="128"/>
      <c r="P178" s="146"/>
      <c r="Q178" s="128"/>
      <c r="R178" s="146"/>
      <c r="S178" s="128"/>
      <c r="T178" s="146"/>
      <c r="U178" s="128"/>
      <c r="V178" s="146"/>
      <c r="W178" s="128"/>
      <c r="X178" s="146"/>
      <c r="Y178" s="128"/>
      <c r="Z178" s="146"/>
      <c r="AA178" s="128"/>
      <c r="AB178" s="146"/>
      <c r="AC178" s="128"/>
      <c r="AD178" s="146"/>
      <c r="AE178" s="128"/>
      <c r="AF178" s="146"/>
      <c r="AG178" s="128"/>
      <c r="AH178" s="146"/>
      <c r="AI178" s="128"/>
      <c r="AJ178" s="146"/>
      <c r="AK178" s="128"/>
      <c r="AL178" s="146"/>
      <c r="AM178" s="128"/>
      <c r="AN178" s="146"/>
    </row>
    <row r="179" spans="1:40" s="121" customFormat="1" ht="15" customHeight="1">
      <c r="A179" s="110" t="s">
        <v>399</v>
      </c>
      <c r="B179" s="110" t="s">
        <v>181</v>
      </c>
      <c r="C179" s="113">
        <v>366465</v>
      </c>
      <c r="D179" s="112">
        <v>12</v>
      </c>
      <c r="E179" s="128">
        <v>1125</v>
      </c>
      <c r="F179" s="146">
        <v>1161</v>
      </c>
      <c r="G179" s="128">
        <v>2097</v>
      </c>
      <c r="H179" s="146">
        <v>2169</v>
      </c>
      <c r="I179" s="128"/>
      <c r="J179" s="146"/>
      <c r="K179" s="128"/>
      <c r="L179" s="146"/>
      <c r="M179" s="128"/>
      <c r="N179" s="146"/>
      <c r="O179" s="128"/>
      <c r="P179" s="146"/>
      <c r="Q179" s="128"/>
      <c r="R179" s="146"/>
      <c r="S179" s="128"/>
      <c r="T179" s="146"/>
      <c r="U179" s="128"/>
      <c r="V179" s="146"/>
      <c r="W179" s="128"/>
      <c r="X179" s="146"/>
      <c r="Y179" s="128"/>
      <c r="Z179" s="146"/>
      <c r="AA179" s="128"/>
      <c r="AB179" s="146"/>
      <c r="AC179" s="128"/>
      <c r="AD179" s="146"/>
      <c r="AE179" s="128"/>
      <c r="AF179" s="146"/>
      <c r="AG179" s="128"/>
      <c r="AH179" s="146"/>
      <c r="AI179" s="128"/>
      <c r="AJ179" s="146"/>
      <c r="AK179" s="128"/>
      <c r="AL179" s="146"/>
      <c r="AM179" s="128"/>
      <c r="AN179" s="146"/>
    </row>
    <row r="180" spans="1:40" s="121" customFormat="1" ht="15" customHeight="1">
      <c r="A180" s="110" t="s">
        <v>399</v>
      </c>
      <c r="B180" s="110" t="s">
        <v>182</v>
      </c>
      <c r="C180" s="113">
        <v>248776</v>
      </c>
      <c r="D180" s="112">
        <v>12</v>
      </c>
      <c r="E180" s="128">
        <v>1110</v>
      </c>
      <c r="F180" s="146">
        <v>1146</v>
      </c>
      <c r="G180" s="128">
        <v>2082</v>
      </c>
      <c r="H180" s="146">
        <v>2154</v>
      </c>
      <c r="I180" s="128"/>
      <c r="J180" s="146"/>
      <c r="K180" s="128"/>
      <c r="L180" s="146"/>
      <c r="M180" s="128"/>
      <c r="N180" s="146"/>
      <c r="O180" s="128"/>
      <c r="P180" s="146"/>
      <c r="Q180" s="128"/>
      <c r="R180" s="146"/>
      <c r="S180" s="128"/>
      <c r="T180" s="146"/>
      <c r="U180" s="128"/>
      <c r="V180" s="146"/>
      <c r="W180" s="128"/>
      <c r="X180" s="146"/>
      <c r="Y180" s="128"/>
      <c r="Z180" s="146"/>
      <c r="AA180" s="128"/>
      <c r="AB180" s="146"/>
      <c r="AC180" s="128"/>
      <c r="AD180" s="146"/>
      <c r="AE180" s="128"/>
      <c r="AF180" s="146"/>
      <c r="AG180" s="128"/>
      <c r="AH180" s="146"/>
      <c r="AI180" s="128"/>
      <c r="AJ180" s="146"/>
      <c r="AK180" s="128"/>
      <c r="AL180" s="146"/>
      <c r="AM180" s="128"/>
      <c r="AN180" s="146"/>
    </row>
    <row r="181" spans="1:40" s="121" customFormat="1" ht="15" customHeight="1">
      <c r="A181" s="110" t="s">
        <v>399</v>
      </c>
      <c r="B181" s="110" t="s">
        <v>183</v>
      </c>
      <c r="C181" s="113">
        <v>140942</v>
      </c>
      <c r="D181" s="112">
        <v>12</v>
      </c>
      <c r="E181" s="128">
        <v>1110</v>
      </c>
      <c r="F181" s="146">
        <v>1146</v>
      </c>
      <c r="G181" s="128">
        <v>2082</v>
      </c>
      <c r="H181" s="146">
        <v>2154</v>
      </c>
      <c r="I181" s="128"/>
      <c r="J181" s="146"/>
      <c r="K181" s="128"/>
      <c r="L181" s="146"/>
      <c r="M181" s="128"/>
      <c r="N181" s="146"/>
      <c r="O181" s="128"/>
      <c r="P181" s="146"/>
      <c r="Q181" s="128"/>
      <c r="R181" s="146"/>
      <c r="S181" s="128"/>
      <c r="T181" s="146"/>
      <c r="U181" s="128"/>
      <c r="V181" s="146"/>
      <c r="W181" s="128"/>
      <c r="X181" s="146"/>
      <c r="Y181" s="128"/>
      <c r="Z181" s="146"/>
      <c r="AA181" s="128"/>
      <c r="AB181" s="146"/>
      <c r="AC181" s="128"/>
      <c r="AD181" s="146"/>
      <c r="AE181" s="128"/>
      <c r="AF181" s="146"/>
      <c r="AG181" s="128"/>
      <c r="AH181" s="146"/>
      <c r="AI181" s="128"/>
      <c r="AJ181" s="146"/>
      <c r="AK181" s="128"/>
      <c r="AL181" s="146"/>
      <c r="AM181" s="128"/>
      <c r="AN181" s="146"/>
    </row>
    <row r="182" spans="1:40" s="121" customFormat="1" ht="15" customHeight="1">
      <c r="A182" s="110" t="s">
        <v>399</v>
      </c>
      <c r="B182" s="110" t="s">
        <v>184</v>
      </c>
      <c r="C182" s="113">
        <v>141006</v>
      </c>
      <c r="D182" s="112">
        <v>12</v>
      </c>
      <c r="E182" s="128">
        <v>1137</v>
      </c>
      <c r="F182" s="146">
        <v>1173</v>
      </c>
      <c r="G182" s="128">
        <v>2109</v>
      </c>
      <c r="H182" s="146">
        <v>2181</v>
      </c>
      <c r="I182" s="128"/>
      <c r="J182" s="146"/>
      <c r="K182" s="128"/>
      <c r="L182" s="146"/>
      <c r="M182" s="128"/>
      <c r="N182" s="146"/>
      <c r="O182" s="128"/>
      <c r="P182" s="146"/>
      <c r="Q182" s="128"/>
      <c r="R182" s="146"/>
      <c r="S182" s="128"/>
      <c r="T182" s="146"/>
      <c r="U182" s="128"/>
      <c r="V182" s="146"/>
      <c r="W182" s="128"/>
      <c r="X182" s="146"/>
      <c r="Y182" s="128"/>
      <c r="Z182" s="146"/>
      <c r="AA182" s="128"/>
      <c r="AB182" s="146"/>
      <c r="AC182" s="128"/>
      <c r="AD182" s="146"/>
      <c r="AE182" s="128"/>
      <c r="AF182" s="146"/>
      <c r="AG182" s="128"/>
      <c r="AH182" s="146"/>
      <c r="AI182" s="128"/>
      <c r="AJ182" s="146"/>
      <c r="AK182" s="128"/>
      <c r="AL182" s="146"/>
      <c r="AM182" s="128"/>
      <c r="AN182" s="146"/>
    </row>
    <row r="183" spans="1:40" s="121" customFormat="1" ht="15" customHeight="1">
      <c r="A183" s="110" t="s">
        <v>399</v>
      </c>
      <c r="B183" s="110" t="s">
        <v>185</v>
      </c>
      <c r="C183" s="113">
        <v>368911</v>
      </c>
      <c r="D183" s="112">
        <v>12</v>
      </c>
      <c r="E183" s="128">
        <v>1110</v>
      </c>
      <c r="F183" s="146">
        <v>1146</v>
      </c>
      <c r="G183" s="128">
        <v>2082</v>
      </c>
      <c r="H183" s="146">
        <v>2154</v>
      </c>
      <c r="I183" s="128"/>
      <c r="J183" s="146"/>
      <c r="K183" s="128"/>
      <c r="L183" s="146"/>
      <c r="M183" s="128"/>
      <c r="N183" s="146"/>
      <c r="O183" s="128"/>
      <c r="P183" s="146"/>
      <c r="Q183" s="128"/>
      <c r="R183" s="146"/>
      <c r="S183" s="128"/>
      <c r="T183" s="146"/>
      <c r="U183" s="128"/>
      <c r="V183" s="146"/>
      <c r="W183" s="128"/>
      <c r="X183" s="146"/>
      <c r="Y183" s="128"/>
      <c r="Z183" s="146"/>
      <c r="AA183" s="128"/>
      <c r="AB183" s="146"/>
      <c r="AC183" s="128"/>
      <c r="AD183" s="146"/>
      <c r="AE183" s="128"/>
      <c r="AF183" s="146"/>
      <c r="AG183" s="128"/>
      <c r="AH183" s="146"/>
      <c r="AI183" s="128"/>
      <c r="AJ183" s="146"/>
      <c r="AK183" s="128"/>
      <c r="AL183" s="146"/>
      <c r="AM183" s="128"/>
      <c r="AN183" s="146"/>
    </row>
    <row r="184" spans="1:40" s="121" customFormat="1" ht="15" customHeight="1">
      <c r="A184" s="110" t="s">
        <v>399</v>
      </c>
      <c r="B184" s="110" t="s">
        <v>186</v>
      </c>
      <c r="C184" s="113">
        <v>141158</v>
      </c>
      <c r="D184" s="112">
        <v>12</v>
      </c>
      <c r="E184" s="128">
        <v>1110</v>
      </c>
      <c r="F184" s="146">
        <v>1146</v>
      </c>
      <c r="G184" s="128">
        <v>2082</v>
      </c>
      <c r="H184" s="146">
        <v>2154</v>
      </c>
      <c r="I184" s="128"/>
      <c r="J184" s="146"/>
      <c r="K184" s="128"/>
      <c r="L184" s="146"/>
      <c r="M184" s="128"/>
      <c r="N184" s="146"/>
      <c r="O184" s="128"/>
      <c r="P184" s="146"/>
      <c r="Q184" s="128"/>
      <c r="R184" s="146"/>
      <c r="S184" s="128"/>
      <c r="T184" s="146"/>
      <c r="U184" s="128"/>
      <c r="V184" s="146"/>
      <c r="W184" s="128"/>
      <c r="X184" s="146"/>
      <c r="Y184" s="128"/>
      <c r="Z184" s="146"/>
      <c r="AA184" s="128"/>
      <c r="AB184" s="146"/>
      <c r="AC184" s="128"/>
      <c r="AD184" s="146"/>
      <c r="AE184" s="128"/>
      <c r="AF184" s="146"/>
      <c r="AG184" s="128"/>
      <c r="AH184" s="146"/>
      <c r="AI184" s="128"/>
      <c r="AJ184" s="146"/>
      <c r="AK184" s="128"/>
      <c r="AL184" s="146"/>
      <c r="AM184" s="128"/>
      <c r="AN184" s="146"/>
    </row>
    <row r="185" spans="1:40" s="121" customFormat="1" ht="15" customHeight="1">
      <c r="A185" s="110" t="s">
        <v>399</v>
      </c>
      <c r="B185" s="110" t="s">
        <v>187</v>
      </c>
      <c r="C185" s="113">
        <v>141255</v>
      </c>
      <c r="D185" s="112">
        <v>12</v>
      </c>
      <c r="E185" s="128">
        <v>1143</v>
      </c>
      <c r="F185" s="146">
        <v>1179</v>
      </c>
      <c r="G185" s="128">
        <v>2115</v>
      </c>
      <c r="H185" s="146">
        <v>2187</v>
      </c>
      <c r="I185" s="128"/>
      <c r="J185" s="146"/>
      <c r="K185" s="128"/>
      <c r="L185" s="146"/>
      <c r="M185" s="128"/>
      <c r="N185" s="146"/>
      <c r="O185" s="128"/>
      <c r="P185" s="146"/>
      <c r="Q185" s="128"/>
      <c r="R185" s="146"/>
      <c r="S185" s="128"/>
      <c r="T185" s="146"/>
      <c r="U185" s="128"/>
      <c r="V185" s="146"/>
      <c r="W185" s="128"/>
      <c r="X185" s="146"/>
      <c r="Y185" s="128"/>
      <c r="Z185" s="146"/>
      <c r="AA185" s="128"/>
      <c r="AB185" s="146"/>
      <c r="AC185" s="128"/>
      <c r="AD185" s="146"/>
      <c r="AE185" s="128"/>
      <c r="AF185" s="146"/>
      <c r="AG185" s="128"/>
      <c r="AH185" s="146"/>
      <c r="AI185" s="128"/>
      <c r="AJ185" s="146"/>
      <c r="AK185" s="128"/>
      <c r="AL185" s="146"/>
      <c r="AM185" s="128"/>
      <c r="AN185" s="146"/>
    </row>
    <row r="186" spans="1:40" s="121" customFormat="1" ht="15" customHeight="1">
      <c r="A186" s="110" t="s">
        <v>399</v>
      </c>
      <c r="B186" s="111" t="s">
        <v>188</v>
      </c>
      <c r="C186" s="112">
        <v>139278</v>
      </c>
      <c r="D186" s="112">
        <v>12</v>
      </c>
      <c r="E186" s="128">
        <v>1122</v>
      </c>
      <c r="F186" s="146">
        <v>1158</v>
      </c>
      <c r="G186" s="128">
        <v>2094</v>
      </c>
      <c r="H186" s="146">
        <v>2166</v>
      </c>
      <c r="I186" s="128"/>
      <c r="J186" s="146"/>
      <c r="K186" s="128"/>
      <c r="L186" s="146"/>
      <c r="M186" s="128"/>
      <c r="N186" s="146"/>
      <c r="O186" s="128"/>
      <c r="P186" s="146"/>
      <c r="Q186" s="128"/>
      <c r="R186" s="146"/>
      <c r="S186" s="128"/>
      <c r="T186" s="146"/>
      <c r="U186" s="128"/>
      <c r="V186" s="146"/>
      <c r="W186" s="128"/>
      <c r="X186" s="146"/>
      <c r="Y186" s="128"/>
      <c r="Z186" s="146"/>
      <c r="AA186" s="128"/>
      <c r="AB186" s="146"/>
      <c r="AC186" s="128"/>
      <c r="AD186" s="146"/>
      <c r="AE186" s="128"/>
      <c r="AF186" s="146"/>
      <c r="AG186" s="128"/>
      <c r="AH186" s="146"/>
      <c r="AI186" s="128"/>
      <c r="AJ186" s="146"/>
      <c r="AK186" s="128"/>
      <c r="AL186" s="146"/>
      <c r="AM186" s="128"/>
      <c r="AN186" s="146"/>
    </row>
    <row r="187" spans="1:40" s="121" customFormat="1" ht="15" customHeight="1">
      <c r="A187" s="110" t="s">
        <v>399</v>
      </c>
      <c r="B187" s="110" t="s">
        <v>189</v>
      </c>
      <c r="C187" s="113">
        <v>141228</v>
      </c>
      <c r="D187" s="263">
        <v>12</v>
      </c>
      <c r="E187" s="128">
        <v>1110</v>
      </c>
      <c r="F187" s="146">
        <v>1146</v>
      </c>
      <c r="G187" s="128">
        <v>2220</v>
      </c>
      <c r="H187" s="146">
        <v>2154</v>
      </c>
      <c r="I187" s="128"/>
      <c r="J187" s="146"/>
      <c r="K187" s="128"/>
      <c r="L187" s="146"/>
      <c r="M187" s="128"/>
      <c r="N187" s="146"/>
      <c r="O187" s="128"/>
      <c r="P187" s="146"/>
      <c r="Q187" s="128"/>
      <c r="R187" s="146"/>
      <c r="S187" s="128"/>
      <c r="T187" s="146"/>
      <c r="U187" s="128"/>
      <c r="V187" s="146"/>
      <c r="W187" s="128"/>
      <c r="X187" s="146"/>
      <c r="Y187" s="128"/>
      <c r="Z187" s="146"/>
      <c r="AA187" s="128"/>
      <c r="AB187" s="146"/>
      <c r="AC187" s="128"/>
      <c r="AD187" s="146"/>
      <c r="AE187" s="128"/>
      <c r="AF187" s="146"/>
      <c r="AG187" s="128"/>
      <c r="AH187" s="146"/>
      <c r="AI187" s="128"/>
      <c r="AJ187" s="146"/>
      <c r="AK187" s="128"/>
      <c r="AL187" s="146"/>
      <c r="AM187" s="128"/>
      <c r="AN187" s="146"/>
    </row>
    <row r="188" spans="1:40" s="121" customFormat="1" ht="15" customHeight="1">
      <c r="A188" s="110" t="s">
        <v>399</v>
      </c>
      <c r="B188" s="110" t="s">
        <v>190</v>
      </c>
      <c r="C188" s="113">
        <v>140809</v>
      </c>
      <c r="D188" s="263">
        <v>13</v>
      </c>
      <c r="E188" s="128">
        <v>1110</v>
      </c>
      <c r="F188" s="146">
        <v>1146</v>
      </c>
      <c r="G188" s="128">
        <v>2220</v>
      </c>
      <c r="H188" s="146">
        <v>2154</v>
      </c>
      <c r="I188" s="128"/>
      <c r="J188" s="146"/>
      <c r="K188" s="128"/>
      <c r="L188" s="146"/>
      <c r="M188" s="128"/>
      <c r="N188" s="146"/>
      <c r="O188" s="128"/>
      <c r="P188" s="146"/>
      <c r="Q188" s="128"/>
      <c r="R188" s="146"/>
      <c r="S188" s="128"/>
      <c r="T188" s="146"/>
      <c r="U188" s="128"/>
      <c r="V188" s="146"/>
      <c r="W188" s="128"/>
      <c r="X188" s="146"/>
      <c r="Y188" s="128"/>
      <c r="Z188" s="146"/>
      <c r="AA188" s="128"/>
      <c r="AB188" s="146"/>
      <c r="AC188" s="128"/>
      <c r="AD188" s="146"/>
      <c r="AE188" s="128"/>
      <c r="AF188" s="146"/>
      <c r="AG188" s="128"/>
      <c r="AH188" s="146"/>
      <c r="AI188" s="128"/>
      <c r="AJ188" s="146"/>
      <c r="AK188" s="128"/>
      <c r="AL188" s="146"/>
      <c r="AM188" s="128"/>
      <c r="AN188" s="146"/>
    </row>
    <row r="189" spans="1:40" s="121" customFormat="1" ht="15" customHeight="1">
      <c r="A189" s="110" t="s">
        <v>399</v>
      </c>
      <c r="B189" s="110" t="s">
        <v>191</v>
      </c>
      <c r="C189" s="113">
        <v>420431</v>
      </c>
      <c r="D189" s="263">
        <v>13</v>
      </c>
      <c r="E189" s="128">
        <v>1110</v>
      </c>
      <c r="F189" s="146">
        <v>1146</v>
      </c>
      <c r="G189" s="128">
        <v>2082</v>
      </c>
      <c r="H189" s="146">
        <v>2154</v>
      </c>
      <c r="I189" s="128"/>
      <c r="J189" s="146"/>
      <c r="K189" s="128"/>
      <c r="L189" s="146"/>
      <c r="M189" s="128"/>
      <c r="N189" s="146"/>
      <c r="O189" s="128"/>
      <c r="P189" s="146"/>
      <c r="Q189" s="128"/>
      <c r="R189" s="146"/>
      <c r="S189" s="128"/>
      <c r="T189" s="146"/>
      <c r="U189" s="128"/>
      <c r="V189" s="146"/>
      <c r="W189" s="128"/>
      <c r="X189" s="146"/>
      <c r="Y189" s="128"/>
      <c r="Z189" s="146"/>
      <c r="AA189" s="128"/>
      <c r="AB189" s="146"/>
      <c r="AC189" s="128"/>
      <c r="AD189" s="146"/>
      <c r="AE189" s="128"/>
      <c r="AF189" s="146"/>
      <c r="AG189" s="128"/>
      <c r="AH189" s="146"/>
      <c r="AI189" s="128"/>
      <c r="AJ189" s="146"/>
      <c r="AK189" s="128"/>
      <c r="AL189" s="146"/>
      <c r="AM189" s="128"/>
      <c r="AN189" s="146"/>
    </row>
    <row r="190" spans="1:40" s="121" customFormat="1" ht="15" customHeight="1">
      <c r="A190" s="110" t="s">
        <v>399</v>
      </c>
      <c r="B190" s="110" t="s">
        <v>192</v>
      </c>
      <c r="C190" s="113">
        <v>141121</v>
      </c>
      <c r="D190" s="263">
        <v>13</v>
      </c>
      <c r="E190" s="128">
        <v>1110</v>
      </c>
      <c r="F190" s="146">
        <v>1146</v>
      </c>
      <c r="G190" s="128">
        <v>2080</v>
      </c>
      <c r="H190" s="146">
        <v>2154</v>
      </c>
      <c r="I190" s="128"/>
      <c r="J190" s="146"/>
      <c r="K190" s="128"/>
      <c r="L190" s="146"/>
      <c r="M190" s="128"/>
      <c r="N190" s="146"/>
      <c r="O190" s="128"/>
      <c r="P190" s="146"/>
      <c r="Q190" s="128"/>
      <c r="R190" s="146"/>
      <c r="S190" s="128"/>
      <c r="T190" s="146"/>
      <c r="U190" s="128"/>
      <c r="V190" s="146"/>
      <c r="W190" s="128"/>
      <c r="X190" s="146"/>
      <c r="Y190" s="128"/>
      <c r="Z190" s="146"/>
      <c r="AA190" s="128"/>
      <c r="AB190" s="146"/>
      <c r="AC190" s="128"/>
      <c r="AD190" s="146"/>
      <c r="AE190" s="128"/>
      <c r="AF190" s="146"/>
      <c r="AG190" s="128"/>
      <c r="AH190" s="146"/>
      <c r="AI190" s="128"/>
      <c r="AJ190" s="146"/>
      <c r="AK190" s="128"/>
      <c r="AL190" s="146"/>
      <c r="AM190" s="128"/>
      <c r="AN190" s="146"/>
    </row>
    <row r="191" spans="1:40" s="121" customFormat="1" ht="15" customHeight="1">
      <c r="A191" s="275" t="s">
        <v>399</v>
      </c>
      <c r="B191" s="276" t="s">
        <v>1111</v>
      </c>
      <c r="C191" s="277">
        <v>440615</v>
      </c>
      <c r="D191" s="279">
        <v>15</v>
      </c>
      <c r="E191" s="128"/>
      <c r="F191" s="146">
        <v>1158</v>
      </c>
      <c r="G191" s="128"/>
      <c r="H191" s="146">
        <v>2166</v>
      </c>
      <c r="I191" s="128"/>
      <c r="J191" s="146"/>
      <c r="K191" s="128"/>
      <c r="L191" s="146"/>
      <c r="M191" s="128"/>
      <c r="N191" s="146"/>
      <c r="O191" s="128"/>
      <c r="P191" s="146"/>
      <c r="Q191" s="128"/>
      <c r="R191" s="146"/>
      <c r="S191" s="128"/>
      <c r="T191" s="146"/>
      <c r="U191" s="128"/>
      <c r="V191" s="146"/>
      <c r="W191" s="128"/>
      <c r="X191" s="146"/>
      <c r="Y191" s="128"/>
      <c r="Z191" s="146"/>
      <c r="AA191" s="128"/>
      <c r="AB191" s="146"/>
      <c r="AC191" s="128"/>
      <c r="AD191" s="146"/>
      <c r="AE191" s="128"/>
      <c r="AF191" s="146"/>
      <c r="AG191" s="128"/>
      <c r="AH191" s="146"/>
      <c r="AI191" s="128"/>
      <c r="AJ191" s="146"/>
      <c r="AK191" s="128"/>
      <c r="AL191" s="146"/>
      <c r="AM191" s="128"/>
      <c r="AN191" s="146"/>
    </row>
    <row r="192" spans="1:40" s="121" customFormat="1" ht="15" customHeight="1">
      <c r="A192" s="251" t="s">
        <v>415</v>
      </c>
      <c r="B192" s="251" t="s">
        <v>193</v>
      </c>
      <c r="C192" s="252">
        <v>157085</v>
      </c>
      <c r="D192" s="253">
        <v>1</v>
      </c>
      <c r="E192" s="128">
        <v>4546</v>
      </c>
      <c r="F192" s="293">
        <v>5164</v>
      </c>
      <c r="G192" s="128">
        <v>11226</v>
      </c>
      <c r="H192" s="293">
        <v>11944</v>
      </c>
      <c r="I192" s="128">
        <v>4974</v>
      </c>
      <c r="J192" s="247">
        <v>5652</v>
      </c>
      <c r="K192" s="128">
        <v>12314</v>
      </c>
      <c r="L192" s="247">
        <v>13092</v>
      </c>
      <c r="M192" s="128">
        <v>8770</v>
      </c>
      <c r="N192" s="247">
        <v>10268</v>
      </c>
      <c r="O192" s="128">
        <v>18270</v>
      </c>
      <c r="P192" s="247">
        <v>19868</v>
      </c>
      <c r="Q192" s="128">
        <v>13604</v>
      </c>
      <c r="R192" s="247">
        <v>16668</v>
      </c>
      <c r="S192" s="128">
        <v>31996</v>
      </c>
      <c r="T192" s="247">
        <v>35160</v>
      </c>
      <c r="U192" s="128">
        <v>11896</v>
      </c>
      <c r="V192" s="247">
        <v>15248</v>
      </c>
      <c r="W192" s="128">
        <v>28512</v>
      </c>
      <c r="X192" s="247">
        <v>36102</v>
      </c>
      <c r="Y192" s="128">
        <v>7688</v>
      </c>
      <c r="Z192" s="247">
        <v>9706</v>
      </c>
      <c r="AA192" s="128">
        <v>20730</v>
      </c>
      <c r="AB192" s="247">
        <v>22848</v>
      </c>
      <c r="AC192" s="128"/>
      <c r="AD192" s="247"/>
      <c r="AE192" s="128"/>
      <c r="AF192" s="247"/>
      <c r="AG192" s="128"/>
      <c r="AH192" s="247"/>
      <c r="AI192" s="128"/>
      <c r="AJ192" s="247"/>
      <c r="AK192" s="128"/>
      <c r="AL192" s="247"/>
      <c r="AM192" s="128"/>
      <c r="AN192" s="146"/>
    </row>
    <row r="193" spans="1:40" s="121" customFormat="1" ht="15" customHeight="1">
      <c r="A193" s="251" t="s">
        <v>415</v>
      </c>
      <c r="B193" s="251" t="s">
        <v>194</v>
      </c>
      <c r="C193" s="252">
        <v>157289</v>
      </c>
      <c r="D193" s="253">
        <v>2</v>
      </c>
      <c r="E193" s="128">
        <v>4450</v>
      </c>
      <c r="F193" s="146">
        <v>5040</v>
      </c>
      <c r="G193" s="128">
        <v>12166</v>
      </c>
      <c r="H193" s="146">
        <v>13752</v>
      </c>
      <c r="I193" s="128">
        <v>4842</v>
      </c>
      <c r="J193" s="247">
        <v>5472</v>
      </c>
      <c r="K193" s="128">
        <v>13338</v>
      </c>
      <c r="L193" s="247">
        <v>15084</v>
      </c>
      <c r="M193" s="128">
        <v>8012</v>
      </c>
      <c r="N193" s="247">
        <v>9200</v>
      </c>
      <c r="O193" s="128">
        <v>19354</v>
      </c>
      <c r="P193" s="247">
        <v>20760</v>
      </c>
      <c r="Q193" s="128">
        <v>14544</v>
      </c>
      <c r="R193" s="247">
        <v>16436</v>
      </c>
      <c r="S193" s="128">
        <v>36262</v>
      </c>
      <c r="T193" s="247">
        <v>38802</v>
      </c>
      <c r="U193" s="128">
        <v>12524</v>
      </c>
      <c r="V193" s="247">
        <v>14154</v>
      </c>
      <c r="W193" s="128">
        <v>30784</v>
      </c>
      <c r="X193" s="367">
        <v>34786</v>
      </c>
      <c r="Y193" s="128"/>
      <c r="Z193" s="247"/>
      <c r="AA193" s="128"/>
      <c r="AB193" s="247"/>
      <c r="AC193" s="128"/>
      <c r="AD193" s="247"/>
      <c r="AE193" s="128"/>
      <c r="AF193" s="247"/>
      <c r="AG193" s="128"/>
      <c r="AH193" s="247"/>
      <c r="AI193" s="128"/>
      <c r="AJ193" s="247"/>
      <c r="AK193" s="128"/>
      <c r="AL193" s="247"/>
      <c r="AM193" s="128"/>
      <c r="AN193" s="146"/>
    </row>
    <row r="194" spans="1:40" s="121" customFormat="1" ht="15" customHeight="1">
      <c r="A194" s="251" t="s">
        <v>415</v>
      </c>
      <c r="B194" s="251" t="s">
        <v>195</v>
      </c>
      <c r="C194" s="252">
        <v>156620</v>
      </c>
      <c r="D194" s="253">
        <v>3</v>
      </c>
      <c r="E194" s="128">
        <v>3258</v>
      </c>
      <c r="F194" s="146">
        <v>3792</v>
      </c>
      <c r="G194" s="128">
        <v>8850</v>
      </c>
      <c r="H194" s="146">
        <v>10464</v>
      </c>
      <c r="I194" s="128">
        <v>3510</v>
      </c>
      <c r="J194" s="247">
        <v>4086</v>
      </c>
      <c r="K194" s="128">
        <v>9612</v>
      </c>
      <c r="L194" s="247">
        <v>11340</v>
      </c>
      <c r="M194" s="128"/>
      <c r="N194" s="247"/>
      <c r="O194" s="128"/>
      <c r="P194" s="247"/>
      <c r="Q194" s="128"/>
      <c r="R194" s="247"/>
      <c r="S194" s="128"/>
      <c r="T194" s="247"/>
      <c r="U194" s="128"/>
      <c r="V194" s="247"/>
      <c r="W194" s="128"/>
      <c r="X194" s="247"/>
      <c r="Y194" s="128"/>
      <c r="Z194" s="247"/>
      <c r="AA194" s="128"/>
      <c r="AB194" s="247"/>
      <c r="AC194" s="128"/>
      <c r="AD194" s="247"/>
      <c r="AE194" s="128"/>
      <c r="AF194" s="247"/>
      <c r="AG194" s="128"/>
      <c r="AH194" s="247"/>
      <c r="AI194" s="128"/>
      <c r="AJ194" s="247"/>
      <c r="AK194" s="128"/>
      <c r="AL194" s="247"/>
      <c r="AM194" s="128"/>
      <c r="AN194" s="146"/>
    </row>
    <row r="195" spans="1:40" s="121" customFormat="1" ht="15" customHeight="1">
      <c r="A195" s="251" t="s">
        <v>415</v>
      </c>
      <c r="B195" s="251" t="s">
        <v>196</v>
      </c>
      <c r="C195" s="252">
        <v>157401</v>
      </c>
      <c r="D195" s="253">
        <v>3</v>
      </c>
      <c r="E195" s="128">
        <v>3436</v>
      </c>
      <c r="F195" s="146">
        <v>3984</v>
      </c>
      <c r="G195" s="128">
        <v>9324</v>
      </c>
      <c r="H195" s="146">
        <v>10836</v>
      </c>
      <c r="I195" s="128">
        <v>3726</v>
      </c>
      <c r="J195" s="247">
        <v>4186</v>
      </c>
      <c r="K195" s="128">
        <v>10194</v>
      </c>
      <c r="L195" s="247">
        <v>11700</v>
      </c>
      <c r="M195" s="128"/>
      <c r="N195" s="247"/>
      <c r="O195" s="128"/>
      <c r="P195" s="247"/>
      <c r="Q195" s="128"/>
      <c r="R195" s="247"/>
      <c r="S195" s="128"/>
      <c r="T195" s="247"/>
      <c r="U195" s="128"/>
      <c r="V195" s="247"/>
      <c r="W195" s="128"/>
      <c r="X195" s="247"/>
      <c r="Y195" s="128"/>
      <c r="Z195" s="247"/>
      <c r="AA195" s="128"/>
      <c r="AB195" s="247"/>
      <c r="AC195" s="128"/>
      <c r="AD195" s="247"/>
      <c r="AE195" s="128"/>
      <c r="AF195" s="247"/>
      <c r="AG195" s="128"/>
      <c r="AH195" s="247"/>
      <c r="AI195" s="128"/>
      <c r="AJ195" s="247"/>
      <c r="AK195" s="128"/>
      <c r="AL195" s="247"/>
      <c r="AM195" s="128"/>
      <c r="AN195" s="146"/>
    </row>
    <row r="196" spans="1:40" s="121" customFormat="1" ht="15" customHeight="1">
      <c r="A196" s="251" t="s">
        <v>415</v>
      </c>
      <c r="B196" s="251" t="s">
        <v>197</v>
      </c>
      <c r="C196" s="252">
        <v>157951</v>
      </c>
      <c r="D196" s="253">
        <v>3</v>
      </c>
      <c r="E196" s="128">
        <v>4050</v>
      </c>
      <c r="F196" s="146">
        <v>4596</v>
      </c>
      <c r="G196" s="128">
        <v>8890</v>
      </c>
      <c r="H196" s="146">
        <v>11184</v>
      </c>
      <c r="I196" s="128">
        <v>4398</v>
      </c>
      <c r="J196" s="247">
        <v>5030</v>
      </c>
      <c r="K196" s="128">
        <v>4758</v>
      </c>
      <c r="L196" s="247">
        <v>5510</v>
      </c>
      <c r="M196" s="128"/>
      <c r="N196" s="247"/>
      <c r="O196" s="128"/>
      <c r="P196" s="247"/>
      <c r="Q196" s="128"/>
      <c r="R196" s="247"/>
      <c r="S196" s="128"/>
      <c r="T196" s="247"/>
      <c r="U196" s="128"/>
      <c r="V196" s="247"/>
      <c r="W196" s="128"/>
      <c r="X196" s="247"/>
      <c r="Y196" s="128"/>
      <c r="Z196" s="247"/>
      <c r="AA196" s="128"/>
      <c r="AB196" s="247"/>
      <c r="AC196" s="128"/>
      <c r="AD196" s="247"/>
      <c r="AE196" s="128"/>
      <c r="AF196" s="247"/>
      <c r="AG196" s="128"/>
      <c r="AH196" s="247"/>
      <c r="AI196" s="128"/>
      <c r="AJ196" s="247"/>
      <c r="AK196" s="128"/>
      <c r="AL196" s="247"/>
      <c r="AM196" s="128"/>
      <c r="AN196" s="146"/>
    </row>
    <row r="197" spans="1:40" s="121" customFormat="1" ht="15" customHeight="1">
      <c r="A197" s="251" t="s">
        <v>415</v>
      </c>
      <c r="B197" s="251" t="s">
        <v>198</v>
      </c>
      <c r="C197" s="252">
        <v>157386</v>
      </c>
      <c r="D197" s="253">
        <v>4</v>
      </c>
      <c r="E197" s="128">
        <v>3364</v>
      </c>
      <c r="F197" s="146">
        <v>3840</v>
      </c>
      <c r="G197" s="128">
        <v>8948</v>
      </c>
      <c r="H197" s="146">
        <v>10200</v>
      </c>
      <c r="I197" s="128">
        <v>4222</v>
      </c>
      <c r="J197" s="247">
        <v>4160</v>
      </c>
      <c r="K197" s="128">
        <v>10346</v>
      </c>
      <c r="L197" s="247">
        <v>11140</v>
      </c>
      <c r="M197" s="128"/>
      <c r="N197" s="247"/>
      <c r="O197" s="128"/>
      <c r="P197" s="247"/>
      <c r="Q197" s="128"/>
      <c r="R197" s="247"/>
      <c r="S197" s="128"/>
      <c r="T197" s="247"/>
      <c r="U197" s="128"/>
      <c r="V197" s="247"/>
      <c r="W197" s="128"/>
      <c r="X197" s="247"/>
      <c r="Y197" s="128"/>
      <c r="Z197" s="247"/>
      <c r="AA197" s="128"/>
      <c r="AB197" s="247"/>
      <c r="AC197" s="128"/>
      <c r="AD197" s="247"/>
      <c r="AE197" s="128"/>
      <c r="AF197" s="247"/>
      <c r="AG197" s="128"/>
      <c r="AH197" s="247"/>
      <c r="AI197" s="128"/>
      <c r="AJ197" s="247"/>
      <c r="AK197" s="128"/>
      <c r="AL197" s="247"/>
      <c r="AM197" s="128"/>
      <c r="AN197" s="146"/>
    </row>
    <row r="198" spans="1:40" s="121" customFormat="1" ht="15" customHeight="1">
      <c r="A198" s="251" t="s">
        <v>415</v>
      </c>
      <c r="B198" s="251" t="s">
        <v>199</v>
      </c>
      <c r="C198" s="252">
        <v>157447</v>
      </c>
      <c r="D198" s="253">
        <v>4</v>
      </c>
      <c r="E198" s="128">
        <v>3744</v>
      </c>
      <c r="F198" s="146">
        <v>4368</v>
      </c>
      <c r="G198" s="128">
        <v>7992</v>
      </c>
      <c r="H198" s="146">
        <v>9096</v>
      </c>
      <c r="I198" s="128">
        <v>5040</v>
      </c>
      <c r="J198" s="247">
        <v>5640</v>
      </c>
      <c r="K198" s="128">
        <v>11592</v>
      </c>
      <c r="L198" s="247">
        <v>12360</v>
      </c>
      <c r="M198" s="128">
        <v>8424</v>
      </c>
      <c r="N198" s="247">
        <v>9240</v>
      </c>
      <c r="O198" s="128">
        <v>18408</v>
      </c>
      <c r="P198" s="247">
        <v>20184</v>
      </c>
      <c r="Q198" s="128"/>
      <c r="R198" s="247"/>
      <c r="S198" s="128"/>
      <c r="T198" s="247"/>
      <c r="U198" s="128"/>
      <c r="V198" s="247"/>
      <c r="W198" s="128"/>
      <c r="X198" s="247"/>
      <c r="Y198" s="128"/>
      <c r="Z198" s="247"/>
      <c r="AA198" s="128"/>
      <c r="AB198" s="247"/>
      <c r="AC198" s="128"/>
      <c r="AD198" s="247"/>
      <c r="AE198" s="128"/>
      <c r="AF198" s="247"/>
      <c r="AG198" s="128"/>
      <c r="AH198" s="247"/>
      <c r="AI198" s="128"/>
      <c r="AJ198" s="247"/>
      <c r="AK198" s="128"/>
      <c r="AL198" s="247"/>
      <c r="AM198" s="128"/>
      <c r="AN198" s="146"/>
    </row>
    <row r="199" spans="1:40" s="121" customFormat="1" ht="15" customHeight="1">
      <c r="A199" s="251" t="s">
        <v>415</v>
      </c>
      <c r="B199" s="288" t="s">
        <v>200</v>
      </c>
      <c r="C199" s="252">
        <v>157058</v>
      </c>
      <c r="D199" s="253">
        <v>5</v>
      </c>
      <c r="E199" s="128">
        <v>3370</v>
      </c>
      <c r="F199" s="146">
        <v>3834</v>
      </c>
      <c r="G199" s="128">
        <v>9014</v>
      </c>
      <c r="H199" s="146">
        <v>9350</v>
      </c>
      <c r="I199" s="128">
        <v>3638</v>
      </c>
      <c r="J199" s="247">
        <v>4002</v>
      </c>
      <c r="K199" s="128">
        <v>9222</v>
      </c>
      <c r="L199" s="247">
        <v>10238</v>
      </c>
      <c r="M199" s="128"/>
      <c r="N199" s="247"/>
      <c r="O199" s="128"/>
      <c r="P199" s="247"/>
      <c r="Q199" s="128"/>
      <c r="R199" s="247"/>
      <c r="S199" s="128"/>
      <c r="T199" s="247"/>
      <c r="U199" s="128"/>
      <c r="V199" s="247"/>
      <c r="W199" s="128"/>
      <c r="X199" s="247"/>
      <c r="Y199" s="128"/>
      <c r="Z199" s="247"/>
      <c r="AA199" s="128"/>
      <c r="AB199" s="247"/>
      <c r="AC199" s="128"/>
      <c r="AD199" s="247"/>
      <c r="AE199" s="128"/>
      <c r="AF199" s="247"/>
      <c r="AG199" s="128"/>
      <c r="AH199" s="247"/>
      <c r="AI199" s="128"/>
      <c r="AJ199" s="247"/>
      <c r="AK199" s="128"/>
      <c r="AL199" s="247"/>
      <c r="AM199" s="128"/>
      <c r="AN199" s="146"/>
    </row>
    <row r="200" spans="1:40" s="121" customFormat="1" ht="15" customHeight="1">
      <c r="A200" s="137" t="s">
        <v>415</v>
      </c>
      <c r="B200" s="288" t="s">
        <v>48</v>
      </c>
      <c r="C200" s="289">
        <v>157173</v>
      </c>
      <c r="D200" s="253">
        <v>8</v>
      </c>
      <c r="E200" s="128">
        <v>2370</v>
      </c>
      <c r="F200" s="146">
        <v>2760</v>
      </c>
      <c r="G200" s="128">
        <v>7110</v>
      </c>
      <c r="H200" s="146">
        <v>8280</v>
      </c>
      <c r="I200" s="128"/>
      <c r="J200" s="247"/>
      <c r="K200" s="128"/>
      <c r="L200" s="247"/>
      <c r="M200" s="128"/>
      <c r="N200" s="247"/>
      <c r="O200" s="128"/>
      <c r="P200" s="247"/>
      <c r="Q200" s="128"/>
      <c r="R200" s="247"/>
      <c r="S200" s="128"/>
      <c r="T200" s="247"/>
      <c r="U200" s="128"/>
      <c r="V200" s="247"/>
      <c r="W200" s="128"/>
      <c r="X200" s="247"/>
      <c r="Y200" s="128"/>
      <c r="Z200" s="247"/>
      <c r="AA200" s="128"/>
      <c r="AB200" s="247"/>
      <c r="AC200" s="128"/>
      <c r="AD200" s="247"/>
      <c r="AE200" s="128"/>
      <c r="AF200" s="247"/>
      <c r="AG200" s="128"/>
      <c r="AH200" s="247"/>
      <c r="AI200" s="128"/>
      <c r="AJ200" s="247"/>
      <c r="AK200" s="128"/>
      <c r="AL200" s="247"/>
      <c r="AM200" s="128"/>
      <c r="AN200" s="146"/>
    </row>
    <row r="201" spans="1:40" s="121" customFormat="1" ht="15" customHeight="1">
      <c r="A201" s="137" t="s">
        <v>415</v>
      </c>
      <c r="B201" s="288" t="s">
        <v>49</v>
      </c>
      <c r="C201" s="289">
        <v>156921</v>
      </c>
      <c r="D201" s="253">
        <v>8</v>
      </c>
      <c r="E201" s="128">
        <v>2370</v>
      </c>
      <c r="F201" s="146">
        <v>2760</v>
      </c>
      <c r="G201" s="128">
        <v>7110</v>
      </c>
      <c r="H201" s="146">
        <v>8280</v>
      </c>
      <c r="I201" s="128"/>
      <c r="J201" s="247"/>
      <c r="K201" s="128"/>
      <c r="L201" s="247"/>
      <c r="M201" s="128"/>
      <c r="N201" s="247"/>
      <c r="O201" s="128"/>
      <c r="P201" s="247"/>
      <c r="Q201" s="128"/>
      <c r="R201" s="247"/>
      <c r="S201" s="128"/>
      <c r="T201" s="247"/>
      <c r="U201" s="128"/>
      <c r="V201" s="247"/>
      <c r="W201" s="128"/>
      <c r="X201" s="247"/>
      <c r="Y201" s="128"/>
      <c r="Z201" s="247"/>
      <c r="AA201" s="128"/>
      <c r="AB201" s="247"/>
      <c r="AC201" s="128"/>
      <c r="AD201" s="247"/>
      <c r="AE201" s="128"/>
      <c r="AF201" s="247"/>
      <c r="AG201" s="128"/>
      <c r="AH201" s="247"/>
      <c r="AI201" s="128"/>
      <c r="AJ201" s="247"/>
      <c r="AK201" s="128"/>
      <c r="AL201" s="247"/>
      <c r="AM201" s="128"/>
      <c r="AN201" s="146"/>
    </row>
    <row r="202" spans="1:40" s="121" customFormat="1" ht="15" customHeight="1">
      <c r="A202" s="137" t="s">
        <v>415</v>
      </c>
      <c r="B202" s="288" t="s">
        <v>50</v>
      </c>
      <c r="C202" s="289">
        <v>156231</v>
      </c>
      <c r="D202" s="253">
        <v>9</v>
      </c>
      <c r="E202" s="128">
        <v>2370</v>
      </c>
      <c r="F202" s="146">
        <v>2760</v>
      </c>
      <c r="G202" s="128">
        <v>7110</v>
      </c>
      <c r="H202" s="146">
        <v>8280</v>
      </c>
      <c r="I202" s="128"/>
      <c r="J202" s="247"/>
      <c r="K202" s="128"/>
      <c r="L202" s="247"/>
      <c r="M202" s="128"/>
      <c r="N202" s="247"/>
      <c r="O202" s="128"/>
      <c r="P202" s="247"/>
      <c r="Q202" s="128"/>
      <c r="R202" s="247"/>
      <c r="S202" s="128"/>
      <c r="T202" s="247"/>
      <c r="U202" s="128"/>
      <c r="V202" s="247"/>
      <c r="W202" s="128"/>
      <c r="X202" s="247"/>
      <c r="Y202" s="128"/>
      <c r="Z202" s="247"/>
      <c r="AA202" s="128"/>
      <c r="AB202" s="247"/>
      <c r="AC202" s="128"/>
      <c r="AD202" s="247"/>
      <c r="AE202" s="128"/>
      <c r="AF202" s="247"/>
      <c r="AG202" s="128"/>
      <c r="AH202" s="247"/>
      <c r="AI202" s="128"/>
      <c r="AJ202" s="247"/>
      <c r="AK202" s="128"/>
      <c r="AL202" s="247"/>
      <c r="AM202" s="128"/>
      <c r="AN202" s="146"/>
    </row>
    <row r="203" spans="1:40" s="121" customFormat="1" ht="15" customHeight="1">
      <c r="A203" s="137" t="s">
        <v>415</v>
      </c>
      <c r="B203" s="288" t="s">
        <v>51</v>
      </c>
      <c r="C203" s="290">
        <v>157553</v>
      </c>
      <c r="D203" s="244">
        <v>9</v>
      </c>
      <c r="E203" s="128">
        <v>2370</v>
      </c>
      <c r="F203" s="146">
        <v>2760</v>
      </c>
      <c r="G203" s="128">
        <v>7110</v>
      </c>
      <c r="H203" s="146">
        <v>8280</v>
      </c>
      <c r="I203" s="128"/>
      <c r="J203" s="247"/>
      <c r="K203" s="128"/>
      <c r="L203" s="247"/>
      <c r="M203" s="128"/>
      <c r="N203" s="247"/>
      <c r="O203" s="128"/>
      <c r="P203" s="247"/>
      <c r="Q203" s="128"/>
      <c r="R203" s="247"/>
      <c r="S203" s="128"/>
      <c r="T203" s="247"/>
      <c r="U203" s="128"/>
      <c r="V203" s="247"/>
      <c r="W203" s="128"/>
      <c r="X203" s="247"/>
      <c r="Y203" s="128"/>
      <c r="Z203" s="247"/>
      <c r="AA203" s="128"/>
      <c r="AB203" s="247"/>
      <c r="AC203" s="128"/>
      <c r="AD203" s="247"/>
      <c r="AE203" s="128"/>
      <c r="AF203" s="247"/>
      <c r="AG203" s="128"/>
      <c r="AH203" s="247"/>
      <c r="AI203" s="128"/>
      <c r="AJ203" s="247"/>
      <c r="AK203" s="128"/>
      <c r="AL203" s="247"/>
      <c r="AM203" s="128"/>
      <c r="AN203" s="146"/>
    </row>
    <row r="204" spans="1:40" s="121" customFormat="1" ht="15" customHeight="1">
      <c r="A204" s="137" t="s">
        <v>415</v>
      </c>
      <c r="B204" s="288" t="s">
        <v>52</v>
      </c>
      <c r="C204" s="289">
        <v>156648</v>
      </c>
      <c r="D204" s="253">
        <v>9</v>
      </c>
      <c r="E204" s="128">
        <v>2370</v>
      </c>
      <c r="F204" s="146">
        <v>2760</v>
      </c>
      <c r="G204" s="128">
        <v>7110</v>
      </c>
      <c r="H204" s="146">
        <v>8280</v>
      </c>
      <c r="I204" s="128"/>
      <c r="J204" s="247"/>
      <c r="K204" s="128"/>
      <c r="L204" s="247"/>
      <c r="M204" s="128"/>
      <c r="N204" s="247"/>
      <c r="O204" s="128"/>
      <c r="P204" s="247"/>
      <c r="Q204" s="128"/>
      <c r="R204" s="247"/>
      <c r="S204" s="128"/>
      <c r="T204" s="247"/>
      <c r="U204" s="128"/>
      <c r="V204" s="247"/>
      <c r="W204" s="128"/>
      <c r="X204" s="247"/>
      <c r="Y204" s="128"/>
      <c r="Z204" s="247"/>
      <c r="AA204" s="128"/>
      <c r="AB204" s="247"/>
      <c r="AC204" s="128"/>
      <c r="AD204" s="247"/>
      <c r="AE204" s="128"/>
      <c r="AF204" s="247"/>
      <c r="AG204" s="128"/>
      <c r="AH204" s="247"/>
      <c r="AI204" s="128"/>
      <c r="AJ204" s="247"/>
      <c r="AK204" s="128"/>
      <c r="AL204" s="247"/>
      <c r="AM204" s="128"/>
      <c r="AN204" s="146"/>
    </row>
    <row r="205" spans="1:40" s="121" customFormat="1" ht="15" customHeight="1">
      <c r="A205" s="251" t="s">
        <v>415</v>
      </c>
      <c r="B205" s="291" t="s">
        <v>53</v>
      </c>
      <c r="C205" s="252">
        <v>156790</v>
      </c>
      <c r="D205" s="253">
        <v>9</v>
      </c>
      <c r="E205" s="128">
        <v>2370</v>
      </c>
      <c r="F205" s="146">
        <v>2760</v>
      </c>
      <c r="G205" s="128">
        <v>7110</v>
      </c>
      <c r="H205" s="146">
        <v>8280</v>
      </c>
      <c r="I205" s="128"/>
      <c r="J205" s="247"/>
      <c r="K205" s="128"/>
      <c r="L205" s="247"/>
      <c r="M205" s="128"/>
      <c r="N205" s="247"/>
      <c r="O205" s="128"/>
      <c r="P205" s="247"/>
      <c r="Q205" s="128"/>
      <c r="R205" s="247"/>
      <c r="S205" s="128"/>
      <c r="T205" s="247"/>
      <c r="U205" s="128"/>
      <c r="V205" s="247"/>
      <c r="W205" s="128"/>
      <c r="X205" s="247"/>
      <c r="Y205" s="128"/>
      <c r="Z205" s="247"/>
      <c r="AA205" s="128"/>
      <c r="AB205" s="247"/>
      <c r="AC205" s="128"/>
      <c r="AD205" s="247"/>
      <c r="AE205" s="128"/>
      <c r="AF205" s="247"/>
      <c r="AG205" s="128"/>
      <c r="AH205" s="247"/>
      <c r="AI205" s="128"/>
      <c r="AJ205" s="247"/>
      <c r="AK205" s="128"/>
      <c r="AL205" s="247"/>
      <c r="AM205" s="128"/>
      <c r="AN205" s="146"/>
    </row>
    <row r="206" spans="1:40" s="121" customFormat="1" ht="15" customHeight="1">
      <c r="A206" s="251" t="s">
        <v>415</v>
      </c>
      <c r="B206" s="291" t="s">
        <v>54</v>
      </c>
      <c r="C206" s="252">
        <v>157304</v>
      </c>
      <c r="D206" s="253">
        <v>9</v>
      </c>
      <c r="E206" s="128">
        <v>2370</v>
      </c>
      <c r="F206" s="146">
        <v>2760</v>
      </c>
      <c r="G206" s="128">
        <v>7110</v>
      </c>
      <c r="H206" s="146">
        <v>8280</v>
      </c>
      <c r="I206" s="128"/>
      <c r="J206" s="247"/>
      <c r="K206" s="128"/>
      <c r="L206" s="247"/>
      <c r="M206" s="128"/>
      <c r="N206" s="247"/>
      <c r="O206" s="128"/>
      <c r="P206" s="247"/>
      <c r="Q206" s="128"/>
      <c r="R206" s="247"/>
      <c r="S206" s="128"/>
      <c r="T206" s="247"/>
      <c r="U206" s="128"/>
      <c r="V206" s="247"/>
      <c r="W206" s="128"/>
      <c r="X206" s="247"/>
      <c r="Y206" s="128"/>
      <c r="Z206" s="247"/>
      <c r="AA206" s="128"/>
      <c r="AB206" s="247"/>
      <c r="AC206" s="128"/>
      <c r="AD206" s="247"/>
      <c r="AE206" s="128"/>
      <c r="AF206" s="247"/>
      <c r="AG206" s="128"/>
      <c r="AH206" s="247"/>
      <c r="AI206" s="128"/>
      <c r="AJ206" s="247"/>
      <c r="AK206" s="128"/>
      <c r="AL206" s="247"/>
      <c r="AM206" s="128"/>
      <c r="AN206" s="146"/>
    </row>
    <row r="207" spans="1:40" s="121" customFormat="1" ht="15" customHeight="1">
      <c r="A207" s="251" t="s">
        <v>415</v>
      </c>
      <c r="B207" s="291" t="s">
        <v>582</v>
      </c>
      <c r="C207" s="252">
        <v>247940</v>
      </c>
      <c r="D207" s="253">
        <v>9</v>
      </c>
      <c r="E207" s="128">
        <v>2370</v>
      </c>
      <c r="F207" s="146">
        <v>2760</v>
      </c>
      <c r="G207" s="128">
        <v>7110</v>
      </c>
      <c r="H207" s="146">
        <v>8280</v>
      </c>
      <c r="I207" s="128"/>
      <c r="J207" s="247"/>
      <c r="K207" s="128"/>
      <c r="L207" s="247"/>
      <c r="M207" s="128"/>
      <c r="N207" s="247"/>
      <c r="O207" s="128"/>
      <c r="P207" s="247"/>
      <c r="Q207" s="128"/>
      <c r="R207" s="247"/>
      <c r="S207" s="128"/>
      <c r="T207" s="247"/>
      <c r="U207" s="128"/>
      <c r="V207" s="247"/>
      <c r="W207" s="128"/>
      <c r="X207" s="247"/>
      <c r="Y207" s="128"/>
      <c r="Z207" s="247"/>
      <c r="AA207" s="128"/>
      <c r="AB207" s="247"/>
      <c r="AC207" s="128"/>
      <c r="AD207" s="247"/>
      <c r="AE207" s="128"/>
      <c r="AF207" s="247"/>
      <c r="AG207" s="128"/>
      <c r="AH207" s="247"/>
      <c r="AI207" s="128"/>
      <c r="AJ207" s="247"/>
      <c r="AK207" s="128"/>
      <c r="AL207" s="247"/>
      <c r="AM207" s="128"/>
      <c r="AN207" s="146"/>
    </row>
    <row r="208" spans="1:40" s="121" customFormat="1" ht="15" customHeight="1">
      <c r="A208" s="251" t="s">
        <v>415</v>
      </c>
      <c r="B208" s="292" t="s">
        <v>1112</v>
      </c>
      <c r="C208" s="252">
        <v>157711</v>
      </c>
      <c r="D208" s="253">
        <v>9</v>
      </c>
      <c r="E208" s="128">
        <v>2370</v>
      </c>
      <c r="F208" s="146">
        <v>2760</v>
      </c>
      <c r="G208" s="128">
        <v>7110</v>
      </c>
      <c r="H208" s="146">
        <v>8280</v>
      </c>
      <c r="I208" s="128"/>
      <c r="J208" s="247"/>
      <c r="K208" s="128"/>
      <c r="L208" s="247"/>
      <c r="M208" s="128"/>
      <c r="N208" s="247"/>
      <c r="O208" s="128"/>
      <c r="P208" s="247"/>
      <c r="Q208" s="128"/>
      <c r="R208" s="247"/>
      <c r="S208" s="128"/>
      <c r="T208" s="247"/>
      <c r="U208" s="128"/>
      <c r="V208" s="247"/>
      <c r="W208" s="128"/>
      <c r="X208" s="247"/>
      <c r="Y208" s="128"/>
      <c r="Z208" s="247"/>
      <c r="AA208" s="128"/>
      <c r="AB208" s="247"/>
      <c r="AC208" s="128"/>
      <c r="AD208" s="247"/>
      <c r="AE208" s="128"/>
      <c r="AF208" s="247"/>
      <c r="AG208" s="128"/>
      <c r="AH208" s="247"/>
      <c r="AI208" s="128"/>
      <c r="AJ208" s="247"/>
      <c r="AK208" s="128"/>
      <c r="AL208" s="247"/>
      <c r="AM208" s="128"/>
      <c r="AN208" s="146"/>
    </row>
    <row r="209" spans="1:40" s="121" customFormat="1" ht="15" customHeight="1">
      <c r="A209" s="251" t="s">
        <v>415</v>
      </c>
      <c r="B209" s="288" t="s">
        <v>583</v>
      </c>
      <c r="C209" s="252">
        <v>157739</v>
      </c>
      <c r="D209" s="253">
        <v>9</v>
      </c>
      <c r="E209" s="128">
        <v>2370</v>
      </c>
      <c r="F209" s="146">
        <v>2760</v>
      </c>
      <c r="G209" s="128">
        <v>7110</v>
      </c>
      <c r="H209" s="146">
        <v>8280</v>
      </c>
      <c r="I209" s="128"/>
      <c r="J209" s="247"/>
      <c r="K209" s="128"/>
      <c r="L209" s="247"/>
      <c r="M209" s="128"/>
      <c r="N209" s="247"/>
      <c r="O209" s="128"/>
      <c r="P209" s="247"/>
      <c r="Q209" s="128"/>
      <c r="R209" s="247"/>
      <c r="S209" s="128"/>
      <c r="T209" s="247"/>
      <c r="U209" s="128"/>
      <c r="V209" s="247"/>
      <c r="W209" s="128"/>
      <c r="X209" s="247"/>
      <c r="Y209" s="128"/>
      <c r="Z209" s="247"/>
      <c r="AA209" s="128"/>
      <c r="AB209" s="247"/>
      <c r="AC209" s="128"/>
      <c r="AD209" s="247"/>
      <c r="AE209" s="128"/>
      <c r="AF209" s="247"/>
      <c r="AG209" s="128"/>
      <c r="AH209" s="247"/>
      <c r="AI209" s="128"/>
      <c r="AJ209" s="247"/>
      <c r="AK209" s="128"/>
      <c r="AL209" s="247"/>
      <c r="AM209" s="128"/>
      <c r="AN209" s="146"/>
    </row>
    <row r="210" spans="1:40" s="121" customFormat="1" ht="15" customHeight="1">
      <c r="A210" s="137" t="s">
        <v>415</v>
      </c>
      <c r="B210" s="288" t="s">
        <v>584</v>
      </c>
      <c r="C210" s="289">
        <v>157483</v>
      </c>
      <c r="D210" s="244">
        <v>9</v>
      </c>
      <c r="E210" s="128">
        <v>2370</v>
      </c>
      <c r="F210" s="146">
        <v>2760</v>
      </c>
      <c r="G210" s="128">
        <v>7110</v>
      </c>
      <c r="H210" s="146">
        <v>8280</v>
      </c>
      <c r="I210" s="128"/>
      <c r="J210" s="247"/>
      <c r="K210" s="128"/>
      <c r="L210" s="247"/>
      <c r="M210" s="128"/>
      <c r="N210" s="247"/>
      <c r="O210" s="128"/>
      <c r="P210" s="247"/>
      <c r="Q210" s="128"/>
      <c r="R210" s="247"/>
      <c r="S210" s="128"/>
      <c r="T210" s="247"/>
      <c r="U210" s="128"/>
      <c r="V210" s="247"/>
      <c r="W210" s="128"/>
      <c r="X210" s="247"/>
      <c r="Y210" s="128"/>
      <c r="Z210" s="247"/>
      <c r="AA210" s="128"/>
      <c r="AB210" s="247"/>
      <c r="AC210" s="128"/>
      <c r="AD210" s="247"/>
      <c r="AE210" s="128"/>
      <c r="AF210" s="247"/>
      <c r="AG210" s="128"/>
      <c r="AH210" s="247"/>
      <c r="AI210" s="128"/>
      <c r="AJ210" s="247"/>
      <c r="AK210" s="128"/>
      <c r="AL210" s="247"/>
      <c r="AM210" s="128"/>
      <c r="AN210" s="146"/>
    </row>
    <row r="211" spans="1:40" s="121" customFormat="1" ht="15" customHeight="1">
      <c r="A211" s="251" t="s">
        <v>415</v>
      </c>
      <c r="B211" s="288" t="s">
        <v>201</v>
      </c>
      <c r="C211" s="252">
        <v>156851</v>
      </c>
      <c r="D211" s="253">
        <v>10</v>
      </c>
      <c r="E211" s="128">
        <v>2370</v>
      </c>
      <c r="F211" s="146">
        <v>2760</v>
      </c>
      <c r="G211" s="128">
        <v>7110</v>
      </c>
      <c r="H211" s="146">
        <v>8280</v>
      </c>
      <c r="I211" s="128"/>
      <c r="J211" s="247"/>
      <c r="K211" s="128"/>
      <c r="L211" s="247"/>
      <c r="M211" s="128"/>
      <c r="N211" s="247"/>
      <c r="O211" s="128"/>
      <c r="P211" s="247"/>
      <c r="Q211" s="128"/>
      <c r="R211" s="247"/>
      <c r="S211" s="128"/>
      <c r="T211" s="247"/>
      <c r="U211" s="128"/>
      <c r="V211" s="247"/>
      <c r="W211" s="128"/>
      <c r="X211" s="247"/>
      <c r="Y211" s="128"/>
      <c r="Z211" s="247"/>
      <c r="AA211" s="128"/>
      <c r="AB211" s="247"/>
      <c r="AC211" s="128"/>
      <c r="AD211" s="247"/>
      <c r="AE211" s="128"/>
      <c r="AF211" s="247"/>
      <c r="AG211" s="128"/>
      <c r="AH211" s="247"/>
      <c r="AI211" s="128"/>
      <c r="AJ211" s="247"/>
      <c r="AK211" s="128"/>
      <c r="AL211" s="247"/>
      <c r="AM211" s="128"/>
      <c r="AN211" s="146"/>
    </row>
    <row r="212" spans="1:40" s="121" customFormat="1" ht="15" customHeight="1">
      <c r="A212" s="251" t="s">
        <v>415</v>
      </c>
      <c r="B212" s="288" t="s">
        <v>202</v>
      </c>
      <c r="C212" s="252">
        <v>156860</v>
      </c>
      <c r="D212" s="253">
        <v>10</v>
      </c>
      <c r="E212" s="128">
        <v>2370</v>
      </c>
      <c r="F212" s="146">
        <v>2760</v>
      </c>
      <c r="G212" s="128">
        <v>7110</v>
      </c>
      <c r="H212" s="146">
        <v>8280</v>
      </c>
      <c r="I212" s="128"/>
      <c r="J212" s="247"/>
      <c r="K212" s="128"/>
      <c r="L212" s="247"/>
      <c r="M212" s="128"/>
      <c r="N212" s="247"/>
      <c r="O212" s="128"/>
      <c r="P212" s="247"/>
      <c r="Q212" s="128"/>
      <c r="R212" s="247"/>
      <c r="S212" s="128"/>
      <c r="T212" s="247"/>
      <c r="U212" s="128"/>
      <c r="V212" s="247"/>
      <c r="W212" s="128"/>
      <c r="X212" s="247"/>
      <c r="Y212" s="128"/>
      <c r="Z212" s="247"/>
      <c r="AA212" s="128"/>
      <c r="AB212" s="247"/>
      <c r="AC212" s="128"/>
      <c r="AD212" s="247"/>
      <c r="AE212" s="128"/>
      <c r="AF212" s="247"/>
      <c r="AG212" s="128"/>
      <c r="AH212" s="247"/>
      <c r="AI212" s="128"/>
      <c r="AJ212" s="247"/>
      <c r="AK212" s="128"/>
      <c r="AL212" s="247"/>
      <c r="AM212" s="128"/>
      <c r="AN212" s="146"/>
    </row>
    <row r="213" spans="1:40" s="121" customFormat="1" ht="15" customHeight="1">
      <c r="A213" s="251" t="s">
        <v>415</v>
      </c>
      <c r="B213" s="288" t="s">
        <v>585</v>
      </c>
      <c r="C213" s="252">
        <v>157331</v>
      </c>
      <c r="D213" s="253">
        <v>10</v>
      </c>
      <c r="E213" s="128">
        <v>2370</v>
      </c>
      <c r="F213" s="146">
        <v>2760</v>
      </c>
      <c r="G213" s="128">
        <v>7110</v>
      </c>
      <c r="H213" s="146">
        <v>8280</v>
      </c>
      <c r="I213" s="128"/>
      <c r="J213" s="247"/>
      <c r="K213" s="128"/>
      <c r="L213" s="247"/>
      <c r="M213" s="128"/>
      <c r="N213" s="247"/>
      <c r="O213" s="128"/>
      <c r="P213" s="247"/>
      <c r="Q213" s="128"/>
      <c r="R213" s="247"/>
      <c r="S213" s="128"/>
      <c r="T213" s="247"/>
      <c r="U213" s="128"/>
      <c r="V213" s="247"/>
      <c r="W213" s="128"/>
      <c r="X213" s="247"/>
      <c r="Y213" s="128"/>
      <c r="Z213" s="247"/>
      <c r="AA213" s="128"/>
      <c r="AB213" s="247"/>
      <c r="AC213" s="128"/>
      <c r="AD213" s="247"/>
      <c r="AE213" s="128"/>
      <c r="AF213" s="247"/>
      <c r="AG213" s="128"/>
      <c r="AH213" s="247"/>
      <c r="AI213" s="128"/>
      <c r="AJ213" s="247"/>
      <c r="AK213" s="128"/>
      <c r="AL213" s="247"/>
      <c r="AM213" s="128"/>
      <c r="AN213" s="146"/>
    </row>
    <row r="214" spans="1:40" s="121" customFormat="1" ht="15" customHeight="1">
      <c r="A214" s="254" t="s">
        <v>415</v>
      </c>
      <c r="B214" s="288" t="s">
        <v>204</v>
      </c>
      <c r="C214" s="255">
        <v>157438</v>
      </c>
      <c r="D214" s="256">
        <v>12</v>
      </c>
      <c r="E214" s="128">
        <v>2370</v>
      </c>
      <c r="F214" s="146">
        <v>2760</v>
      </c>
      <c r="G214" s="128">
        <v>7110</v>
      </c>
      <c r="H214" s="146">
        <v>8280</v>
      </c>
      <c r="I214" s="128"/>
      <c r="J214" s="247"/>
      <c r="K214" s="128"/>
      <c r="L214" s="247"/>
      <c r="M214" s="128"/>
      <c r="N214" s="247"/>
      <c r="O214" s="128"/>
      <c r="P214" s="247"/>
      <c r="Q214" s="128"/>
      <c r="R214" s="247"/>
      <c r="S214" s="128"/>
      <c r="T214" s="247"/>
      <c r="U214" s="128"/>
      <c r="V214" s="247"/>
      <c r="W214" s="128"/>
      <c r="X214" s="247"/>
      <c r="Y214" s="128"/>
      <c r="Z214" s="247"/>
      <c r="AA214" s="128"/>
      <c r="AB214" s="247"/>
      <c r="AC214" s="128"/>
      <c r="AD214" s="247"/>
      <c r="AE214" s="128"/>
      <c r="AF214" s="247"/>
      <c r="AG214" s="128"/>
      <c r="AH214" s="247"/>
      <c r="AI214" s="128"/>
      <c r="AJ214" s="247"/>
      <c r="AK214" s="128"/>
      <c r="AL214" s="247"/>
      <c r="AM214" s="128"/>
      <c r="AN214" s="146"/>
    </row>
    <row r="215" spans="1:40" s="121" customFormat="1" ht="15" customHeight="1">
      <c r="A215" s="251" t="s">
        <v>415</v>
      </c>
      <c r="B215" s="288" t="s">
        <v>203</v>
      </c>
      <c r="C215" s="252">
        <v>156338</v>
      </c>
      <c r="D215" s="253">
        <v>13</v>
      </c>
      <c r="E215" s="128">
        <v>2370</v>
      </c>
      <c r="F215" s="146">
        <v>2760</v>
      </c>
      <c r="G215" s="128">
        <v>7110</v>
      </c>
      <c r="H215" s="146">
        <v>8280</v>
      </c>
      <c r="I215" s="128"/>
      <c r="J215" s="247"/>
      <c r="K215" s="128"/>
      <c r="L215" s="247"/>
      <c r="M215" s="128"/>
      <c r="N215" s="247"/>
      <c r="O215" s="128"/>
      <c r="P215" s="247"/>
      <c r="Q215" s="128"/>
      <c r="R215" s="247"/>
      <c r="S215" s="128"/>
      <c r="T215" s="247"/>
      <c r="U215" s="128"/>
      <c r="V215" s="247"/>
      <c r="W215" s="128"/>
      <c r="X215" s="247"/>
      <c r="Y215" s="128"/>
      <c r="Z215" s="247"/>
      <c r="AA215" s="128"/>
      <c r="AB215" s="247"/>
      <c r="AC215" s="128"/>
      <c r="AD215" s="247"/>
      <c r="AE215" s="128"/>
      <c r="AF215" s="247"/>
      <c r="AG215" s="128"/>
      <c r="AH215" s="247"/>
      <c r="AI215" s="128"/>
      <c r="AJ215" s="247"/>
      <c r="AK215" s="128"/>
      <c r="AL215" s="247"/>
      <c r="AM215" s="128"/>
      <c r="AN215" s="146"/>
    </row>
    <row r="216" spans="1:40" s="121" customFormat="1" ht="15" customHeight="1">
      <c r="A216" s="141" t="s">
        <v>1032</v>
      </c>
      <c r="B216" s="141" t="s">
        <v>205</v>
      </c>
      <c r="C216" s="142">
        <v>159391</v>
      </c>
      <c r="D216" s="143">
        <v>1</v>
      </c>
      <c r="E216" s="128">
        <v>3880</v>
      </c>
      <c r="F216" s="146">
        <v>4292</v>
      </c>
      <c r="G216" s="128">
        <v>9180</v>
      </c>
      <c r="H216" s="146">
        <v>11092</v>
      </c>
      <c r="I216" s="128">
        <v>3799</v>
      </c>
      <c r="J216" s="146">
        <v>4187</v>
      </c>
      <c r="K216" s="128">
        <v>9099</v>
      </c>
      <c r="L216" s="146">
        <v>10987</v>
      </c>
      <c r="M216" s="128">
        <v>9682</v>
      </c>
      <c r="N216" s="146">
        <v>11650</v>
      </c>
      <c r="O216" s="128">
        <v>17694</v>
      </c>
      <c r="P216" s="146">
        <v>20746</v>
      </c>
      <c r="Q216" s="128"/>
      <c r="R216" s="146"/>
      <c r="S216" s="128"/>
      <c r="T216" s="146"/>
      <c r="U216" s="128"/>
      <c r="V216" s="146"/>
      <c r="W216" s="128"/>
      <c r="X216" s="146"/>
      <c r="Y216" s="128"/>
      <c r="Z216" s="146"/>
      <c r="AA216" s="128"/>
      <c r="AB216" s="146"/>
      <c r="AC216" s="128"/>
      <c r="AD216" s="146"/>
      <c r="AE216" s="128"/>
      <c r="AF216" s="146"/>
      <c r="AG216" s="128"/>
      <c r="AH216" s="146"/>
      <c r="AI216" s="128"/>
      <c r="AJ216" s="146"/>
      <c r="AK216" s="128">
        <v>10403</v>
      </c>
      <c r="AL216" s="146">
        <v>11307</v>
      </c>
      <c r="AM216" s="128">
        <v>25003</v>
      </c>
      <c r="AN216" s="146">
        <v>28207</v>
      </c>
    </row>
    <row r="217" spans="1:40" s="121" customFormat="1" ht="15" customHeight="1">
      <c r="A217" s="141" t="s">
        <v>1032</v>
      </c>
      <c r="B217" s="141" t="s">
        <v>206</v>
      </c>
      <c r="C217" s="142">
        <v>160658</v>
      </c>
      <c r="D217" s="143">
        <v>2</v>
      </c>
      <c r="E217" s="128">
        <v>2928</v>
      </c>
      <c r="F217" s="146">
        <v>3216</v>
      </c>
      <c r="G217" s="128">
        <v>9108</v>
      </c>
      <c r="H217" s="146">
        <v>9396</v>
      </c>
      <c r="I217" s="128">
        <v>2856</v>
      </c>
      <c r="J217" s="146">
        <v>3105</v>
      </c>
      <c r="K217" s="128">
        <v>9036</v>
      </c>
      <c r="L217" s="146">
        <v>9285</v>
      </c>
      <c r="M217" s="128"/>
      <c r="N217" s="146"/>
      <c r="O217" s="128"/>
      <c r="P217" s="146"/>
      <c r="Q217" s="128"/>
      <c r="R217" s="146"/>
      <c r="S217" s="128"/>
      <c r="T217" s="146"/>
      <c r="U217" s="128"/>
      <c r="V217" s="146"/>
      <c r="W217" s="128"/>
      <c r="X217" s="146"/>
      <c r="Y217" s="128"/>
      <c r="Z217" s="146"/>
      <c r="AA217" s="128"/>
      <c r="AB217" s="146"/>
      <c r="AC217" s="128"/>
      <c r="AD217" s="146"/>
      <c r="AE217" s="128"/>
      <c r="AF217" s="146"/>
      <c r="AG217" s="128"/>
      <c r="AH217" s="146"/>
      <c r="AI217" s="128"/>
      <c r="AJ217" s="146"/>
      <c r="AK217" s="128"/>
      <c r="AL217" s="146"/>
      <c r="AM217" s="128"/>
      <c r="AN217" s="146"/>
    </row>
    <row r="218" spans="1:40" s="121" customFormat="1" ht="15" customHeight="1">
      <c r="A218" s="141" t="s">
        <v>1032</v>
      </c>
      <c r="B218" s="141" t="s">
        <v>207</v>
      </c>
      <c r="C218" s="142">
        <v>159939</v>
      </c>
      <c r="D218" s="143">
        <v>2</v>
      </c>
      <c r="E218" s="128">
        <v>3464</v>
      </c>
      <c r="F218" s="146">
        <v>3702</v>
      </c>
      <c r="G218" s="128">
        <v>10508</v>
      </c>
      <c r="H218" s="146">
        <v>10746</v>
      </c>
      <c r="I218" s="128">
        <v>3374</v>
      </c>
      <c r="J218" s="146">
        <v>3612</v>
      </c>
      <c r="K218" s="128">
        <v>10418</v>
      </c>
      <c r="L218" s="146">
        <v>10656</v>
      </c>
      <c r="M218" s="128"/>
      <c r="N218" s="146"/>
      <c r="O218" s="128"/>
      <c r="P218" s="146"/>
      <c r="Q218" s="128"/>
      <c r="R218" s="146"/>
      <c r="S218" s="128"/>
      <c r="T218" s="146"/>
      <c r="U218" s="128"/>
      <c r="V218" s="146"/>
      <c r="W218" s="128"/>
      <c r="X218" s="146"/>
      <c r="Y218" s="128"/>
      <c r="Z218" s="146"/>
      <c r="AA218" s="128"/>
      <c r="AB218" s="146"/>
      <c r="AC218" s="128"/>
      <c r="AD218" s="146"/>
      <c r="AE218" s="128"/>
      <c r="AF218" s="146"/>
      <c r="AG218" s="128"/>
      <c r="AH218" s="146"/>
      <c r="AI218" s="128"/>
      <c r="AJ218" s="146"/>
      <c r="AK218" s="128"/>
      <c r="AL218" s="146"/>
      <c r="AM218" s="128"/>
      <c r="AN218" s="146"/>
    </row>
    <row r="219" spans="1:40" s="121" customFormat="1" ht="15" customHeight="1">
      <c r="A219" s="141" t="s">
        <v>1032</v>
      </c>
      <c r="B219" s="141" t="s">
        <v>208</v>
      </c>
      <c r="C219" s="142">
        <v>159647</v>
      </c>
      <c r="D219" s="143">
        <v>3</v>
      </c>
      <c r="E219" s="128">
        <v>3240</v>
      </c>
      <c r="F219" s="146">
        <v>3765</v>
      </c>
      <c r="G219" s="128">
        <v>7155</v>
      </c>
      <c r="H219" s="146">
        <v>7680</v>
      </c>
      <c r="I219" s="128">
        <v>2238</v>
      </c>
      <c r="J219" s="146">
        <v>2655</v>
      </c>
      <c r="K219" s="128">
        <v>5031</v>
      </c>
      <c r="L219" s="146">
        <v>5460</v>
      </c>
      <c r="M219" s="128"/>
      <c r="N219" s="146"/>
      <c r="O219" s="128"/>
      <c r="P219" s="146"/>
      <c r="Q219" s="128"/>
      <c r="R219" s="146"/>
      <c r="S219" s="128"/>
      <c r="T219" s="146"/>
      <c r="U219" s="128"/>
      <c r="V219" s="146"/>
      <c r="W219" s="128"/>
      <c r="X219" s="146"/>
      <c r="Y219" s="128"/>
      <c r="Z219" s="146"/>
      <c r="AA219" s="128"/>
      <c r="AB219" s="146"/>
      <c r="AC219" s="128"/>
      <c r="AD219" s="146"/>
      <c r="AE219" s="128"/>
      <c r="AF219" s="146"/>
      <c r="AG219" s="128"/>
      <c r="AH219" s="146"/>
      <c r="AI219" s="128"/>
      <c r="AJ219" s="146"/>
      <c r="AK219" s="128"/>
      <c r="AL219" s="146"/>
      <c r="AM219" s="128"/>
      <c r="AN219" s="146"/>
    </row>
    <row r="220" spans="1:40" s="121" customFormat="1" ht="15" customHeight="1">
      <c r="A220" s="141" t="s">
        <v>1032</v>
      </c>
      <c r="B220" s="141" t="s">
        <v>209</v>
      </c>
      <c r="C220" s="142">
        <v>160621</v>
      </c>
      <c r="D220" s="143">
        <v>3</v>
      </c>
      <c r="E220" s="128">
        <v>3018</v>
      </c>
      <c r="F220" s="146">
        <v>3440</v>
      </c>
      <c r="G220" s="128">
        <v>8810</v>
      </c>
      <c r="H220" s="146">
        <v>9232</v>
      </c>
      <c r="I220" s="128">
        <v>2946</v>
      </c>
      <c r="J220" s="146">
        <v>3356</v>
      </c>
      <c r="K220" s="128">
        <v>8112</v>
      </c>
      <c r="L220" s="146">
        <v>8522</v>
      </c>
      <c r="M220" s="128">
        <v>4661</v>
      </c>
      <c r="N220" s="146">
        <v>5724</v>
      </c>
      <c r="O220" s="128">
        <v>9261</v>
      </c>
      <c r="P220" s="146">
        <v>10324</v>
      </c>
      <c r="Q220" s="128"/>
      <c r="R220" s="146"/>
      <c r="S220" s="128"/>
      <c r="T220" s="146"/>
      <c r="U220" s="128"/>
      <c r="V220" s="146"/>
      <c r="W220" s="128"/>
      <c r="X220" s="146"/>
      <c r="Y220" s="128"/>
      <c r="Z220" s="146"/>
      <c r="AA220" s="128"/>
      <c r="AB220" s="146"/>
      <c r="AC220" s="128"/>
      <c r="AD220" s="146"/>
      <c r="AE220" s="128"/>
      <c r="AF220" s="146"/>
      <c r="AG220" s="128"/>
      <c r="AH220" s="146"/>
      <c r="AI220" s="128"/>
      <c r="AJ220" s="146"/>
      <c r="AK220" s="128"/>
      <c r="AL220" s="146"/>
      <c r="AM220" s="128"/>
      <c r="AN220" s="146"/>
    </row>
    <row r="221" spans="1:40" s="121" customFormat="1" ht="15" customHeight="1">
      <c r="A221" s="141" t="s">
        <v>1032</v>
      </c>
      <c r="B221" s="141" t="s">
        <v>210</v>
      </c>
      <c r="C221" s="142">
        <v>159993</v>
      </c>
      <c r="D221" s="143">
        <v>3</v>
      </c>
      <c r="E221" s="128">
        <v>2910</v>
      </c>
      <c r="F221" s="146">
        <v>3196</v>
      </c>
      <c r="G221" s="128">
        <v>8862</v>
      </c>
      <c r="H221" s="146">
        <v>9148</v>
      </c>
      <c r="I221" s="128">
        <v>2832</v>
      </c>
      <c r="J221" s="146">
        <v>3069</v>
      </c>
      <c r="K221" s="128">
        <v>8790</v>
      </c>
      <c r="L221" s="146">
        <v>9026</v>
      </c>
      <c r="M221" s="128"/>
      <c r="N221" s="146"/>
      <c r="O221" s="128"/>
      <c r="P221" s="146"/>
      <c r="Q221" s="128"/>
      <c r="R221" s="146"/>
      <c r="S221" s="128"/>
      <c r="T221" s="146"/>
      <c r="U221" s="128"/>
      <c r="V221" s="146"/>
      <c r="W221" s="128"/>
      <c r="X221" s="146"/>
      <c r="Y221" s="128">
        <v>5196</v>
      </c>
      <c r="Z221" s="146">
        <v>5524</v>
      </c>
      <c r="AA221" s="128">
        <v>11148</v>
      </c>
      <c r="AB221" s="146">
        <v>15476</v>
      </c>
      <c r="AC221" s="128"/>
      <c r="AD221" s="146"/>
      <c r="AE221" s="128"/>
      <c r="AF221" s="146"/>
      <c r="AG221" s="128"/>
      <c r="AH221" s="146"/>
      <c r="AI221" s="128"/>
      <c r="AJ221" s="146"/>
      <c r="AK221" s="128"/>
      <c r="AL221" s="146"/>
      <c r="AM221" s="128"/>
      <c r="AN221" s="146"/>
    </row>
    <row r="222" spans="1:40" s="121" customFormat="1" ht="15" customHeight="1">
      <c r="A222" s="141" t="s">
        <v>1032</v>
      </c>
      <c r="B222" s="141" t="s">
        <v>211</v>
      </c>
      <c r="C222" s="142">
        <v>159009</v>
      </c>
      <c r="D222" s="143">
        <v>4</v>
      </c>
      <c r="E222" s="128">
        <v>3086</v>
      </c>
      <c r="F222" s="146">
        <v>3410</v>
      </c>
      <c r="G222" s="128">
        <v>8436</v>
      </c>
      <c r="H222" s="146">
        <v>8760</v>
      </c>
      <c r="I222" s="128">
        <v>2486</v>
      </c>
      <c r="J222" s="146">
        <v>2729</v>
      </c>
      <c r="K222" s="128">
        <v>6498</v>
      </c>
      <c r="L222" s="146">
        <v>6743</v>
      </c>
      <c r="M222" s="128"/>
      <c r="N222" s="146"/>
      <c r="O222" s="128"/>
      <c r="P222" s="146"/>
      <c r="Q222" s="128"/>
      <c r="R222" s="146"/>
      <c r="S222" s="128"/>
      <c r="T222" s="146"/>
      <c r="U222" s="128"/>
      <c r="V222" s="146"/>
      <c r="W222" s="128"/>
      <c r="X222" s="146"/>
      <c r="Y222" s="128"/>
      <c r="Z222" s="146"/>
      <c r="AA222" s="128"/>
      <c r="AB222" s="146"/>
      <c r="AC222" s="128"/>
      <c r="AD222" s="146"/>
      <c r="AE222" s="128"/>
      <c r="AF222" s="146"/>
      <c r="AG222" s="128"/>
      <c r="AH222" s="146"/>
      <c r="AI222" s="128"/>
      <c r="AJ222" s="146"/>
      <c r="AK222" s="128"/>
      <c r="AL222" s="146"/>
      <c r="AM222" s="128"/>
      <c r="AN222" s="146"/>
    </row>
    <row r="223" spans="1:40" s="121" customFormat="1" ht="15" customHeight="1">
      <c r="A223" s="141" t="s">
        <v>1032</v>
      </c>
      <c r="B223" s="141" t="s">
        <v>895</v>
      </c>
      <c r="C223" s="142">
        <v>159416</v>
      </c>
      <c r="D223" s="143">
        <v>4</v>
      </c>
      <c r="E223" s="128">
        <v>2913</v>
      </c>
      <c r="F223" s="146">
        <v>3090</v>
      </c>
      <c r="G223" s="128">
        <v>7243</v>
      </c>
      <c r="H223" s="146">
        <v>7420</v>
      </c>
      <c r="I223" s="128">
        <v>2629</v>
      </c>
      <c r="J223" s="146">
        <v>2794</v>
      </c>
      <c r="K223" s="128">
        <v>6739</v>
      </c>
      <c r="L223" s="146">
        <v>6904</v>
      </c>
      <c r="M223" s="128"/>
      <c r="N223" s="146"/>
      <c r="O223" s="128"/>
      <c r="P223" s="146"/>
      <c r="Q223" s="128">
        <v>9121</v>
      </c>
      <c r="R223" s="146">
        <v>10052</v>
      </c>
      <c r="S223" s="128">
        <v>23269</v>
      </c>
      <c r="T223" s="146">
        <v>24200</v>
      </c>
      <c r="U223" s="128"/>
      <c r="V223" s="146"/>
      <c r="W223" s="128"/>
      <c r="X223" s="146"/>
      <c r="Y223" s="128"/>
      <c r="Z223" s="146"/>
      <c r="AA223" s="128"/>
      <c r="AB223" s="146"/>
      <c r="AC223" s="128"/>
      <c r="AD223" s="146"/>
      <c r="AE223" s="128"/>
      <c r="AF223" s="146"/>
      <c r="AG223" s="128"/>
      <c r="AH223" s="146"/>
      <c r="AI223" s="128"/>
      <c r="AJ223" s="146"/>
      <c r="AK223" s="128"/>
      <c r="AL223" s="146"/>
      <c r="AM223" s="128"/>
      <c r="AN223" s="146"/>
    </row>
    <row r="224" spans="1:40" s="121" customFormat="1" ht="15" customHeight="1">
      <c r="A224" s="141" t="s">
        <v>1032</v>
      </c>
      <c r="B224" s="141" t="s">
        <v>212</v>
      </c>
      <c r="C224" s="142">
        <v>159717</v>
      </c>
      <c r="D224" s="143">
        <v>4</v>
      </c>
      <c r="E224" s="128">
        <v>2777</v>
      </c>
      <c r="F224" s="146">
        <v>3067</v>
      </c>
      <c r="G224" s="128">
        <v>8843</v>
      </c>
      <c r="H224" s="146">
        <v>9133</v>
      </c>
      <c r="I224" s="128">
        <v>2677</v>
      </c>
      <c r="J224" s="146">
        <v>2930</v>
      </c>
      <c r="K224" s="128">
        <v>8743</v>
      </c>
      <c r="L224" s="146">
        <v>8996</v>
      </c>
      <c r="M224" s="128"/>
      <c r="N224" s="146"/>
      <c r="O224" s="128"/>
      <c r="P224" s="146"/>
      <c r="Q224" s="128"/>
      <c r="R224" s="146"/>
      <c r="S224" s="128"/>
      <c r="T224" s="146"/>
      <c r="U224" s="128"/>
      <c r="V224" s="146"/>
      <c r="W224" s="128"/>
      <c r="X224" s="146"/>
      <c r="Y224" s="128"/>
      <c r="Z224" s="146"/>
      <c r="AA224" s="128"/>
      <c r="AB224" s="146"/>
      <c r="AC224" s="128"/>
      <c r="AD224" s="146"/>
      <c r="AE224" s="128"/>
      <c r="AF224" s="146"/>
      <c r="AG224" s="128"/>
      <c r="AH224" s="146"/>
      <c r="AI224" s="128"/>
      <c r="AJ224" s="146"/>
      <c r="AK224" s="128"/>
      <c r="AL224" s="146"/>
      <c r="AM224" s="128"/>
      <c r="AN224" s="146"/>
    </row>
    <row r="225" spans="1:40" s="121" customFormat="1" ht="15" customHeight="1">
      <c r="A225" s="141" t="s">
        <v>1032</v>
      </c>
      <c r="B225" s="141" t="s">
        <v>213</v>
      </c>
      <c r="C225" s="142">
        <v>160038</v>
      </c>
      <c r="D225" s="143">
        <v>4</v>
      </c>
      <c r="E225" s="128">
        <v>2990</v>
      </c>
      <c r="F225" s="146">
        <v>3241</v>
      </c>
      <c r="G225" s="128">
        <v>9068</v>
      </c>
      <c r="H225" s="146">
        <v>9319</v>
      </c>
      <c r="I225" s="128">
        <v>2941</v>
      </c>
      <c r="J225" s="146">
        <v>3132</v>
      </c>
      <c r="K225" s="128">
        <v>9019</v>
      </c>
      <c r="L225" s="146">
        <v>9210</v>
      </c>
      <c r="M225" s="128"/>
      <c r="N225" s="146"/>
      <c r="O225" s="128"/>
      <c r="P225" s="146"/>
      <c r="Q225" s="128"/>
      <c r="R225" s="146"/>
      <c r="S225" s="128"/>
      <c r="T225" s="146"/>
      <c r="U225" s="128"/>
      <c r="V225" s="146"/>
      <c r="W225" s="128"/>
      <c r="X225" s="146"/>
      <c r="Y225" s="128"/>
      <c r="Z225" s="146"/>
      <c r="AA225" s="128"/>
      <c r="AB225" s="146"/>
      <c r="AC225" s="128"/>
      <c r="AD225" s="146"/>
      <c r="AE225" s="128"/>
      <c r="AF225" s="146"/>
      <c r="AG225" s="128"/>
      <c r="AH225" s="146"/>
      <c r="AI225" s="128"/>
      <c r="AJ225" s="146"/>
      <c r="AK225" s="128"/>
      <c r="AL225" s="146"/>
      <c r="AM225" s="128"/>
      <c r="AN225" s="146"/>
    </row>
    <row r="226" spans="1:40" s="121" customFormat="1" ht="15" customHeight="1">
      <c r="A226" s="141" t="s">
        <v>1032</v>
      </c>
      <c r="B226" s="141" t="s">
        <v>214</v>
      </c>
      <c r="C226" s="142">
        <v>160612</v>
      </c>
      <c r="D226" s="143">
        <v>4</v>
      </c>
      <c r="E226" s="128">
        <v>2762</v>
      </c>
      <c r="F226" s="146">
        <v>3002</v>
      </c>
      <c r="G226" s="128">
        <v>8090</v>
      </c>
      <c r="H226" s="146">
        <v>8330</v>
      </c>
      <c r="I226" s="128">
        <v>2659</v>
      </c>
      <c r="J226" s="146">
        <v>2892</v>
      </c>
      <c r="K226" s="128">
        <v>6655</v>
      </c>
      <c r="L226" s="146">
        <v>6888</v>
      </c>
      <c r="M226" s="128"/>
      <c r="N226" s="146"/>
      <c r="O226" s="128"/>
      <c r="P226" s="146"/>
      <c r="Q226" s="128"/>
      <c r="R226" s="146"/>
      <c r="S226" s="128"/>
      <c r="T226" s="146"/>
      <c r="U226" s="128"/>
      <c r="V226" s="146"/>
      <c r="W226" s="128"/>
      <c r="X226" s="146"/>
      <c r="Y226" s="128"/>
      <c r="Z226" s="146"/>
      <c r="AA226" s="128"/>
      <c r="AB226" s="146"/>
      <c r="AC226" s="128"/>
      <c r="AD226" s="146"/>
      <c r="AE226" s="128"/>
      <c r="AF226" s="146"/>
      <c r="AG226" s="128"/>
      <c r="AH226" s="146"/>
      <c r="AI226" s="128"/>
      <c r="AJ226" s="146"/>
      <c r="AK226" s="128"/>
      <c r="AL226" s="146"/>
      <c r="AM226" s="128"/>
      <c r="AN226" s="146"/>
    </row>
    <row r="227" spans="1:40" s="121" customFormat="1" ht="15" customHeight="1">
      <c r="A227" s="141" t="s">
        <v>1032</v>
      </c>
      <c r="B227" s="141" t="s">
        <v>896</v>
      </c>
      <c r="C227" s="142">
        <v>159966</v>
      </c>
      <c r="D227" s="143">
        <v>5</v>
      </c>
      <c r="E227" s="128">
        <v>2921</v>
      </c>
      <c r="F227" s="146">
        <v>3240</v>
      </c>
      <c r="G227" s="128">
        <v>8369</v>
      </c>
      <c r="H227" s="146">
        <v>8688</v>
      </c>
      <c r="I227" s="128">
        <v>2804</v>
      </c>
      <c r="J227" s="146">
        <v>3075</v>
      </c>
      <c r="K227" s="128">
        <v>8252</v>
      </c>
      <c r="L227" s="146">
        <v>8523</v>
      </c>
      <c r="M227" s="128"/>
      <c r="N227" s="146"/>
      <c r="O227" s="128"/>
      <c r="P227" s="146"/>
      <c r="Q227" s="128"/>
      <c r="R227" s="146"/>
      <c r="S227" s="128"/>
      <c r="T227" s="146"/>
      <c r="U227" s="128"/>
      <c r="V227" s="146"/>
      <c r="W227" s="128"/>
      <c r="X227" s="146"/>
      <c r="Y227" s="128"/>
      <c r="Z227" s="146"/>
      <c r="AA227" s="128"/>
      <c r="AB227" s="146"/>
      <c r="AC227" s="128"/>
      <c r="AD227" s="146"/>
      <c r="AE227" s="128"/>
      <c r="AF227" s="146"/>
      <c r="AG227" s="128"/>
      <c r="AH227" s="146"/>
      <c r="AI227" s="128"/>
      <c r="AJ227" s="146"/>
      <c r="AK227" s="128"/>
      <c r="AL227" s="146"/>
      <c r="AM227" s="128"/>
      <c r="AN227" s="146"/>
    </row>
    <row r="228" spans="1:40" s="121" customFormat="1" ht="15" customHeight="1">
      <c r="A228" s="141" t="s">
        <v>1032</v>
      </c>
      <c r="B228" s="141" t="s">
        <v>897</v>
      </c>
      <c r="C228" s="142">
        <v>160630</v>
      </c>
      <c r="D228" s="143">
        <v>5</v>
      </c>
      <c r="E228" s="128">
        <v>2574</v>
      </c>
      <c r="F228" s="146">
        <v>2872</v>
      </c>
      <c r="G228" s="128">
        <v>6312</v>
      </c>
      <c r="H228" s="146">
        <v>6610</v>
      </c>
      <c r="I228" s="128">
        <v>3262</v>
      </c>
      <c r="J228" s="146">
        <v>3590</v>
      </c>
      <c r="K228" s="128">
        <v>6177</v>
      </c>
      <c r="L228" s="146">
        <v>6505</v>
      </c>
      <c r="M228" s="128"/>
      <c r="N228" s="146"/>
      <c r="O228" s="128"/>
      <c r="P228" s="146"/>
      <c r="Q228" s="128"/>
      <c r="R228" s="146"/>
      <c r="S228" s="128"/>
      <c r="T228" s="146"/>
      <c r="U228" s="128"/>
      <c r="V228" s="146"/>
      <c r="W228" s="128"/>
      <c r="X228" s="146"/>
      <c r="Y228" s="128"/>
      <c r="Z228" s="146"/>
      <c r="AA228" s="128"/>
      <c r="AB228" s="146"/>
      <c r="AC228" s="128"/>
      <c r="AD228" s="146"/>
      <c r="AE228" s="128"/>
      <c r="AF228" s="146"/>
      <c r="AG228" s="128"/>
      <c r="AH228" s="146"/>
      <c r="AI228" s="128"/>
      <c r="AJ228" s="146"/>
      <c r="AK228" s="128"/>
      <c r="AL228" s="146"/>
      <c r="AM228" s="128"/>
      <c r="AN228" s="146"/>
    </row>
    <row r="229" spans="1:40" s="121" customFormat="1" ht="15" customHeight="1">
      <c r="A229" s="141" t="s">
        <v>1032</v>
      </c>
      <c r="B229" s="141" t="s">
        <v>903</v>
      </c>
      <c r="C229" s="142">
        <v>159382</v>
      </c>
      <c r="D229" s="365">
        <v>7</v>
      </c>
      <c r="E229" s="128">
        <v>2207</v>
      </c>
      <c r="F229" s="146">
        <v>2925</v>
      </c>
      <c r="G229" s="128">
        <v>4667</v>
      </c>
      <c r="H229" s="146">
        <v>5385</v>
      </c>
      <c r="I229" s="128"/>
      <c r="J229" s="146"/>
      <c r="K229" s="128"/>
      <c r="L229" s="146"/>
      <c r="M229" s="128"/>
      <c r="N229" s="146"/>
      <c r="O229" s="128"/>
      <c r="P229" s="146"/>
      <c r="Q229" s="128"/>
      <c r="R229" s="146"/>
      <c r="S229" s="128"/>
      <c r="T229" s="146"/>
      <c r="U229" s="128"/>
      <c r="V229" s="146"/>
      <c r="W229" s="128"/>
      <c r="X229" s="146"/>
      <c r="Y229" s="128"/>
      <c r="Z229" s="146"/>
      <c r="AA229" s="128"/>
      <c r="AB229" s="146"/>
      <c r="AC229" s="128"/>
      <c r="AD229" s="146"/>
      <c r="AE229" s="128"/>
      <c r="AF229" s="146"/>
      <c r="AG229" s="128"/>
      <c r="AH229" s="146"/>
      <c r="AI229" s="128"/>
      <c r="AJ229" s="146"/>
      <c r="AK229" s="128"/>
      <c r="AL229" s="146"/>
      <c r="AM229" s="128"/>
      <c r="AN229" s="146"/>
    </row>
    <row r="230" spans="1:40" s="121" customFormat="1" ht="15" customHeight="1">
      <c r="A230" s="141" t="s">
        <v>1032</v>
      </c>
      <c r="B230" s="141" t="s">
        <v>898</v>
      </c>
      <c r="C230" s="142">
        <v>158662</v>
      </c>
      <c r="D230" s="143">
        <v>8</v>
      </c>
      <c r="E230" s="128">
        <v>1750</v>
      </c>
      <c r="F230" s="146">
        <v>1844</v>
      </c>
      <c r="G230" s="128">
        <v>4730</v>
      </c>
      <c r="H230" s="146">
        <v>4824</v>
      </c>
      <c r="I230" s="128"/>
      <c r="J230" s="146"/>
      <c r="K230" s="128"/>
      <c r="L230" s="146"/>
      <c r="M230" s="128"/>
      <c r="N230" s="146"/>
      <c r="O230" s="128"/>
      <c r="P230" s="146"/>
      <c r="Q230" s="128"/>
      <c r="R230" s="146"/>
      <c r="S230" s="128"/>
      <c r="T230" s="146"/>
      <c r="U230" s="128"/>
      <c r="V230" s="146"/>
      <c r="W230" s="128"/>
      <c r="X230" s="146"/>
      <c r="Y230" s="128"/>
      <c r="Z230" s="146"/>
      <c r="AA230" s="128"/>
      <c r="AB230" s="146"/>
      <c r="AC230" s="128"/>
      <c r="AD230" s="146"/>
      <c r="AE230" s="128"/>
      <c r="AF230" s="146"/>
      <c r="AG230" s="128"/>
      <c r="AH230" s="146"/>
      <c r="AI230" s="128"/>
      <c r="AJ230" s="146"/>
      <c r="AK230" s="128"/>
      <c r="AL230" s="146"/>
      <c r="AM230" s="128"/>
      <c r="AN230" s="146"/>
    </row>
    <row r="231" spans="1:40" s="121" customFormat="1" ht="15" customHeight="1">
      <c r="A231" s="141" t="s">
        <v>1032</v>
      </c>
      <c r="B231" s="141" t="s">
        <v>899</v>
      </c>
      <c r="C231" s="142">
        <v>437103</v>
      </c>
      <c r="D231" s="143">
        <v>9</v>
      </c>
      <c r="E231" s="128">
        <v>1488</v>
      </c>
      <c r="F231" s="146">
        <v>1626</v>
      </c>
      <c r="G231" s="128">
        <v>4146</v>
      </c>
      <c r="H231" s="146">
        <v>4362</v>
      </c>
      <c r="I231" s="128"/>
      <c r="J231" s="146"/>
      <c r="K231" s="128"/>
      <c r="L231" s="146"/>
      <c r="M231" s="128"/>
      <c r="N231" s="146"/>
      <c r="O231" s="128"/>
      <c r="P231" s="146"/>
      <c r="Q231" s="128"/>
      <c r="R231" s="146"/>
      <c r="S231" s="128"/>
      <c r="T231" s="146"/>
      <c r="U231" s="128"/>
      <c r="V231" s="146"/>
      <c r="W231" s="128"/>
      <c r="X231" s="146"/>
      <c r="Y231" s="128"/>
      <c r="Z231" s="146"/>
      <c r="AA231" s="128"/>
      <c r="AB231" s="146"/>
      <c r="AC231" s="128"/>
      <c r="AD231" s="146"/>
      <c r="AE231" s="128"/>
      <c r="AF231" s="146"/>
      <c r="AG231" s="128"/>
      <c r="AH231" s="146"/>
      <c r="AI231" s="128"/>
      <c r="AJ231" s="146"/>
      <c r="AK231" s="128"/>
      <c r="AL231" s="146"/>
      <c r="AM231" s="128"/>
      <c r="AN231" s="146"/>
    </row>
    <row r="232" spans="1:40" s="121" customFormat="1" ht="15" customHeight="1">
      <c r="A232" s="141" t="s">
        <v>1032</v>
      </c>
      <c r="B232" s="141" t="s">
        <v>900</v>
      </c>
      <c r="C232" s="142">
        <v>158431</v>
      </c>
      <c r="D232" s="143">
        <v>9</v>
      </c>
      <c r="E232" s="128">
        <v>1596</v>
      </c>
      <c r="F232" s="146">
        <v>1682</v>
      </c>
      <c r="G232" s="128">
        <v>3736</v>
      </c>
      <c r="H232" s="146">
        <v>3822</v>
      </c>
      <c r="I232" s="128"/>
      <c r="J232" s="146"/>
      <c r="K232" s="128"/>
      <c r="L232" s="146"/>
      <c r="M232" s="128"/>
      <c r="N232" s="146"/>
      <c r="O232" s="128"/>
      <c r="P232" s="146"/>
      <c r="Q232" s="128"/>
      <c r="R232" s="146"/>
      <c r="S232" s="128"/>
      <c r="T232" s="146"/>
      <c r="U232" s="128"/>
      <c r="V232" s="146"/>
      <c r="W232" s="128"/>
      <c r="X232" s="146"/>
      <c r="Y232" s="128"/>
      <c r="Z232" s="146"/>
      <c r="AA232" s="128"/>
      <c r="AB232" s="146"/>
      <c r="AC232" s="128"/>
      <c r="AD232" s="146"/>
      <c r="AE232" s="128"/>
      <c r="AF232" s="146"/>
      <c r="AG232" s="128"/>
      <c r="AH232" s="146"/>
      <c r="AI232" s="128"/>
      <c r="AJ232" s="146"/>
      <c r="AK232" s="128"/>
      <c r="AL232" s="146"/>
      <c r="AM232" s="128"/>
      <c r="AN232" s="146"/>
    </row>
    <row r="233" spans="1:40" s="121" customFormat="1" ht="15" customHeight="1">
      <c r="A233" s="141" t="s">
        <v>1032</v>
      </c>
      <c r="B233" s="141" t="s">
        <v>901</v>
      </c>
      <c r="C233" s="142">
        <v>159407</v>
      </c>
      <c r="D233" s="143">
        <v>9</v>
      </c>
      <c r="E233" s="128">
        <v>1764</v>
      </c>
      <c r="F233" s="146">
        <v>1988</v>
      </c>
      <c r="G233" s="128">
        <v>4764</v>
      </c>
      <c r="H233" s="146">
        <v>4988</v>
      </c>
      <c r="I233" s="128"/>
      <c r="J233" s="146"/>
      <c r="K233" s="128"/>
      <c r="L233" s="146"/>
      <c r="M233" s="128"/>
      <c r="N233" s="146"/>
      <c r="O233" s="128"/>
      <c r="P233" s="146"/>
      <c r="Q233" s="128"/>
      <c r="R233" s="146"/>
      <c r="S233" s="128"/>
      <c r="T233" s="146"/>
      <c r="U233" s="128"/>
      <c r="V233" s="146"/>
      <c r="W233" s="128"/>
      <c r="X233" s="146"/>
      <c r="Y233" s="128"/>
      <c r="Z233" s="146"/>
      <c r="AA233" s="128"/>
      <c r="AB233" s="146"/>
      <c r="AC233" s="128"/>
      <c r="AD233" s="146"/>
      <c r="AE233" s="128"/>
      <c r="AF233" s="146"/>
      <c r="AG233" s="128"/>
      <c r="AH233" s="146"/>
      <c r="AI233" s="128"/>
      <c r="AJ233" s="146"/>
      <c r="AK233" s="128"/>
      <c r="AL233" s="146"/>
      <c r="AM233" s="128"/>
      <c r="AN233" s="146"/>
    </row>
    <row r="234" spans="1:40" s="121" customFormat="1" ht="15" customHeight="1">
      <c r="A234" s="257" t="s">
        <v>1032</v>
      </c>
      <c r="B234" s="257" t="s">
        <v>902</v>
      </c>
      <c r="C234" s="258">
        <v>440624</v>
      </c>
      <c r="D234" s="143">
        <v>10</v>
      </c>
      <c r="E234" s="128">
        <v>1592</v>
      </c>
      <c r="F234" s="146">
        <v>1876</v>
      </c>
      <c r="G234" s="128">
        <v>2942</v>
      </c>
      <c r="H234" s="146">
        <v>3412</v>
      </c>
      <c r="I234" s="128"/>
      <c r="J234" s="146"/>
      <c r="K234" s="128"/>
      <c r="L234" s="146"/>
      <c r="M234" s="128"/>
      <c r="N234" s="146"/>
      <c r="O234" s="128"/>
      <c r="P234" s="146"/>
      <c r="Q234" s="128"/>
      <c r="R234" s="146"/>
      <c r="S234" s="128"/>
      <c r="T234" s="146"/>
      <c r="U234" s="128"/>
      <c r="V234" s="146"/>
      <c r="W234" s="128"/>
      <c r="X234" s="146"/>
      <c r="Y234" s="128"/>
      <c r="Z234" s="146"/>
      <c r="AA234" s="128"/>
      <c r="AB234" s="146"/>
      <c r="AC234" s="128"/>
      <c r="AD234" s="146"/>
      <c r="AE234" s="128"/>
      <c r="AF234" s="146"/>
      <c r="AG234" s="128"/>
      <c r="AH234" s="146"/>
      <c r="AI234" s="128"/>
      <c r="AJ234" s="146"/>
      <c r="AK234" s="128"/>
      <c r="AL234" s="146"/>
      <c r="AM234" s="128"/>
      <c r="AN234" s="146"/>
    </row>
    <row r="235" spans="1:40" s="121" customFormat="1" ht="15" customHeight="1">
      <c r="A235" s="141" t="s">
        <v>1032</v>
      </c>
      <c r="B235" s="141" t="s">
        <v>904</v>
      </c>
      <c r="C235" s="142">
        <v>158884</v>
      </c>
      <c r="D235" s="143">
        <v>10</v>
      </c>
      <c r="E235" s="128">
        <v>1604</v>
      </c>
      <c r="F235" s="146">
        <v>1718</v>
      </c>
      <c r="G235" s="128">
        <v>4124</v>
      </c>
      <c r="H235" s="146">
        <v>4238</v>
      </c>
      <c r="I235" s="128"/>
      <c r="J235" s="146"/>
      <c r="K235" s="128"/>
      <c r="L235" s="146"/>
      <c r="M235" s="128"/>
      <c r="N235" s="146"/>
      <c r="O235" s="128"/>
      <c r="P235" s="146"/>
      <c r="Q235" s="128"/>
      <c r="R235" s="146"/>
      <c r="S235" s="128"/>
      <c r="T235" s="146"/>
      <c r="U235" s="128"/>
      <c r="V235" s="146"/>
      <c r="W235" s="128"/>
      <c r="X235" s="146"/>
      <c r="Y235" s="128"/>
      <c r="Z235" s="146"/>
      <c r="AA235" s="128"/>
      <c r="AB235" s="146"/>
      <c r="AC235" s="128"/>
      <c r="AD235" s="146"/>
      <c r="AE235" s="128"/>
      <c r="AF235" s="146"/>
      <c r="AG235" s="128"/>
      <c r="AH235" s="146"/>
      <c r="AI235" s="128"/>
      <c r="AJ235" s="146"/>
      <c r="AK235" s="128"/>
      <c r="AL235" s="146"/>
      <c r="AM235" s="128"/>
      <c r="AN235" s="146"/>
    </row>
    <row r="236" spans="1:40" s="121" customFormat="1" ht="15" customHeight="1">
      <c r="A236" s="141" t="s">
        <v>1032</v>
      </c>
      <c r="B236" s="141" t="s">
        <v>905</v>
      </c>
      <c r="C236" s="142">
        <v>436304</v>
      </c>
      <c r="D236" s="143">
        <v>10</v>
      </c>
      <c r="E236" s="128">
        <v>1714</v>
      </c>
      <c r="F236" s="146">
        <v>1828</v>
      </c>
      <c r="G236" s="128">
        <v>4274</v>
      </c>
      <c r="H236" s="146">
        <v>4484</v>
      </c>
      <c r="I236" s="128"/>
      <c r="J236" s="146"/>
      <c r="K236" s="128"/>
      <c r="L236" s="146"/>
      <c r="M236" s="128"/>
      <c r="N236" s="146"/>
      <c r="O236" s="128"/>
      <c r="P236" s="146"/>
      <c r="Q236" s="128"/>
      <c r="R236" s="146"/>
      <c r="S236" s="128"/>
      <c r="T236" s="146"/>
      <c r="U236" s="128"/>
      <c r="V236" s="146"/>
      <c r="W236" s="128"/>
      <c r="X236" s="146"/>
      <c r="Y236" s="128"/>
      <c r="Z236" s="146"/>
      <c r="AA236" s="128"/>
      <c r="AB236" s="146"/>
      <c r="AC236" s="128"/>
      <c r="AD236" s="146"/>
      <c r="AE236" s="128"/>
      <c r="AF236" s="146"/>
      <c r="AG236" s="128"/>
      <c r="AH236" s="146"/>
      <c r="AI236" s="128"/>
      <c r="AJ236" s="146"/>
      <c r="AK236" s="128"/>
      <c r="AL236" s="146"/>
      <c r="AM236" s="128"/>
      <c r="AN236" s="146"/>
    </row>
    <row r="237" spans="1:40" s="121" customFormat="1" ht="15" customHeight="1">
      <c r="A237" s="141" t="s">
        <v>1032</v>
      </c>
      <c r="B237" s="141" t="s">
        <v>906</v>
      </c>
      <c r="C237" s="142">
        <v>434061</v>
      </c>
      <c r="D237" s="143">
        <v>10</v>
      </c>
      <c r="E237" s="128">
        <v>1702</v>
      </c>
      <c r="F237" s="146">
        <v>1810</v>
      </c>
      <c r="G237" s="128">
        <v>3852</v>
      </c>
      <c r="H237" s="146">
        <v>3960</v>
      </c>
      <c r="I237" s="128"/>
      <c r="J237" s="146"/>
      <c r="K237" s="128"/>
      <c r="L237" s="146"/>
      <c r="M237" s="128"/>
      <c r="N237" s="146"/>
      <c r="O237" s="128"/>
      <c r="P237" s="146"/>
      <c r="Q237" s="128"/>
      <c r="R237" s="146"/>
      <c r="S237" s="128"/>
      <c r="T237" s="146"/>
      <c r="U237" s="128"/>
      <c r="V237" s="146"/>
      <c r="W237" s="128"/>
      <c r="X237" s="146"/>
      <c r="Y237" s="128"/>
      <c r="Z237" s="146"/>
      <c r="AA237" s="128"/>
      <c r="AB237" s="146"/>
      <c r="AC237" s="128"/>
      <c r="AD237" s="146"/>
      <c r="AE237" s="128"/>
      <c r="AF237" s="146"/>
      <c r="AG237" s="128"/>
      <c r="AH237" s="146"/>
      <c r="AI237" s="128"/>
      <c r="AJ237" s="146"/>
      <c r="AK237" s="128"/>
      <c r="AL237" s="146"/>
      <c r="AM237" s="128"/>
      <c r="AN237" s="146"/>
    </row>
    <row r="238" spans="1:40" s="121" customFormat="1" ht="15" customHeight="1">
      <c r="A238" s="141" t="s">
        <v>1032</v>
      </c>
      <c r="B238" s="141" t="s">
        <v>907</v>
      </c>
      <c r="C238" s="142">
        <v>160649</v>
      </c>
      <c r="D238" s="143">
        <v>10</v>
      </c>
      <c r="E238" s="128">
        <v>1916</v>
      </c>
      <c r="F238" s="146">
        <v>2188</v>
      </c>
      <c r="G238" s="128">
        <v>3046</v>
      </c>
      <c r="H238" s="146">
        <v>3318</v>
      </c>
      <c r="I238" s="128"/>
      <c r="J238" s="146"/>
      <c r="K238" s="128"/>
      <c r="L238" s="146"/>
      <c r="M238" s="128"/>
      <c r="N238" s="146"/>
      <c r="O238" s="128"/>
      <c r="P238" s="146"/>
      <c r="Q238" s="128"/>
      <c r="R238" s="146"/>
      <c r="S238" s="128"/>
      <c r="T238" s="146"/>
      <c r="U238" s="128"/>
      <c r="V238" s="146"/>
      <c r="W238" s="128"/>
      <c r="X238" s="146"/>
      <c r="Y238" s="128"/>
      <c r="Z238" s="146"/>
      <c r="AA238" s="128"/>
      <c r="AB238" s="146"/>
      <c r="AC238" s="128"/>
      <c r="AD238" s="146"/>
      <c r="AE238" s="128"/>
      <c r="AF238" s="146"/>
      <c r="AG238" s="128"/>
      <c r="AH238" s="146"/>
      <c r="AI238" s="128"/>
      <c r="AJ238" s="146"/>
      <c r="AK238" s="128"/>
      <c r="AL238" s="146"/>
      <c r="AM238" s="128"/>
      <c r="AN238" s="146"/>
    </row>
    <row r="239" spans="1:40" s="121" customFormat="1" ht="15" customHeight="1">
      <c r="A239" s="141" t="s">
        <v>1032</v>
      </c>
      <c r="B239" s="257" t="s">
        <v>919</v>
      </c>
      <c r="C239" s="259">
        <v>160579</v>
      </c>
      <c r="D239" s="143">
        <v>12</v>
      </c>
      <c r="E239" s="128">
        <v>666</v>
      </c>
      <c r="F239" s="146">
        <v>956</v>
      </c>
      <c r="G239" s="128">
        <v>1154</v>
      </c>
      <c r="H239" s="146">
        <v>1724</v>
      </c>
      <c r="I239" s="128"/>
      <c r="J239" s="146"/>
      <c r="K239" s="128"/>
      <c r="L239" s="146"/>
      <c r="M239" s="128"/>
      <c r="N239" s="146"/>
      <c r="O239" s="128"/>
      <c r="P239" s="146"/>
      <c r="Q239" s="128"/>
      <c r="R239" s="146"/>
      <c r="S239" s="128"/>
      <c r="T239" s="146"/>
      <c r="U239" s="128"/>
      <c r="V239" s="146"/>
      <c r="W239" s="128"/>
      <c r="X239" s="146"/>
      <c r="Y239" s="128"/>
      <c r="Z239" s="146"/>
      <c r="AA239" s="128"/>
      <c r="AB239" s="146"/>
      <c r="AC239" s="128"/>
      <c r="AD239" s="146"/>
      <c r="AE239" s="128"/>
      <c r="AF239" s="146"/>
      <c r="AG239" s="128"/>
      <c r="AH239" s="146"/>
      <c r="AI239" s="128"/>
      <c r="AJ239" s="146"/>
      <c r="AK239" s="128"/>
      <c r="AL239" s="146"/>
      <c r="AM239" s="128"/>
      <c r="AN239" s="146"/>
    </row>
    <row r="240" spans="1:40" s="121" customFormat="1" ht="15" customHeight="1">
      <c r="A240" s="141" t="s">
        <v>1032</v>
      </c>
      <c r="B240" s="257" t="s">
        <v>361</v>
      </c>
      <c r="C240" s="259">
        <v>160481</v>
      </c>
      <c r="D240" s="143">
        <v>13</v>
      </c>
      <c r="E240" s="128">
        <v>666</v>
      </c>
      <c r="F240" s="146">
        <v>966</v>
      </c>
      <c r="G240" s="128">
        <v>1154</v>
      </c>
      <c r="H240" s="146">
        <v>1622</v>
      </c>
      <c r="I240" s="128"/>
      <c r="J240" s="146"/>
      <c r="K240" s="128"/>
      <c r="L240" s="146"/>
      <c r="M240" s="128"/>
      <c r="N240" s="146"/>
      <c r="O240" s="128"/>
      <c r="P240" s="146"/>
      <c r="Q240" s="128"/>
      <c r="R240" s="146"/>
      <c r="S240" s="128"/>
      <c r="T240" s="146"/>
      <c r="U240" s="128"/>
      <c r="V240" s="146"/>
      <c r="W240" s="128"/>
      <c r="X240" s="146"/>
      <c r="Y240" s="128"/>
      <c r="Z240" s="146"/>
      <c r="AA240" s="128"/>
      <c r="AB240" s="146"/>
      <c r="AC240" s="128"/>
      <c r="AD240" s="146"/>
      <c r="AE240" s="128"/>
      <c r="AF240" s="146"/>
      <c r="AG240" s="128"/>
      <c r="AH240" s="146"/>
      <c r="AI240" s="128"/>
      <c r="AJ240" s="146"/>
      <c r="AK240" s="128"/>
      <c r="AL240" s="146"/>
      <c r="AM240" s="128"/>
      <c r="AN240" s="146"/>
    </row>
    <row r="241" spans="1:40" s="121" customFormat="1" ht="15" customHeight="1">
      <c r="A241" s="141" t="s">
        <v>1032</v>
      </c>
      <c r="B241" s="141" t="s">
        <v>908</v>
      </c>
      <c r="C241" s="142">
        <v>160560</v>
      </c>
      <c r="D241" s="143">
        <v>14</v>
      </c>
      <c r="E241" s="128">
        <v>681</v>
      </c>
      <c r="F241" s="146">
        <v>927</v>
      </c>
      <c r="G241" s="128">
        <v>1169</v>
      </c>
      <c r="H241" s="146">
        <v>1455</v>
      </c>
      <c r="I241" s="128"/>
      <c r="J241" s="146"/>
      <c r="K241" s="128"/>
      <c r="L241" s="146"/>
      <c r="M241" s="128"/>
      <c r="N241" s="146"/>
      <c r="O241" s="128"/>
      <c r="P241" s="146"/>
      <c r="Q241" s="128"/>
      <c r="R241" s="146"/>
      <c r="S241" s="128"/>
      <c r="T241" s="146"/>
      <c r="U241" s="128"/>
      <c r="V241" s="146"/>
      <c r="W241" s="128"/>
      <c r="X241" s="146"/>
      <c r="Y241" s="128"/>
      <c r="Z241" s="146"/>
      <c r="AA241" s="128"/>
      <c r="AB241" s="146"/>
      <c r="AC241" s="128"/>
      <c r="AD241" s="146"/>
      <c r="AE241" s="128"/>
      <c r="AF241" s="146"/>
      <c r="AG241" s="128"/>
      <c r="AH241" s="146"/>
      <c r="AI241" s="128"/>
      <c r="AJ241" s="146"/>
      <c r="AK241" s="128"/>
      <c r="AL241" s="146"/>
      <c r="AM241" s="128"/>
      <c r="AN241" s="146"/>
    </row>
    <row r="242" spans="1:40" s="121" customFormat="1" ht="15" customHeight="1">
      <c r="A242" s="141" t="s">
        <v>1032</v>
      </c>
      <c r="B242" s="141" t="s">
        <v>909</v>
      </c>
      <c r="C242" s="259">
        <v>158088</v>
      </c>
      <c r="D242" s="143">
        <v>14</v>
      </c>
      <c r="E242" s="128">
        <v>681</v>
      </c>
      <c r="F242" s="146">
        <v>927</v>
      </c>
      <c r="G242" s="128">
        <v>1169</v>
      </c>
      <c r="H242" s="146">
        <v>1455</v>
      </c>
      <c r="I242" s="128"/>
      <c r="J242" s="146"/>
      <c r="K242" s="128"/>
      <c r="L242" s="146"/>
      <c r="M242" s="128"/>
      <c r="N242" s="146"/>
      <c r="O242" s="128"/>
      <c r="P242" s="146"/>
      <c r="Q242" s="128"/>
      <c r="R242" s="146"/>
      <c r="S242" s="128"/>
      <c r="T242" s="146"/>
      <c r="U242" s="128"/>
      <c r="V242" s="146"/>
      <c r="W242" s="128"/>
      <c r="X242" s="146"/>
      <c r="Y242" s="128"/>
      <c r="Z242" s="146"/>
      <c r="AA242" s="128"/>
      <c r="AB242" s="146"/>
      <c r="AC242" s="128"/>
      <c r="AD242" s="146"/>
      <c r="AE242" s="128"/>
      <c r="AF242" s="146"/>
      <c r="AG242" s="128"/>
      <c r="AH242" s="146"/>
      <c r="AI242" s="128"/>
      <c r="AJ242" s="146"/>
      <c r="AK242" s="128"/>
      <c r="AL242" s="146"/>
      <c r="AM242" s="128"/>
      <c r="AN242" s="146"/>
    </row>
    <row r="243" spans="1:40" s="121" customFormat="1" ht="15" customHeight="1">
      <c r="A243" s="141" t="s">
        <v>1032</v>
      </c>
      <c r="B243" s="141" t="s">
        <v>622</v>
      </c>
      <c r="C243" s="259">
        <v>158219</v>
      </c>
      <c r="D243" s="143">
        <v>14</v>
      </c>
      <c r="E243" s="128">
        <v>681</v>
      </c>
      <c r="F243" s="146">
        <v>927</v>
      </c>
      <c r="G243" s="128">
        <v>1169</v>
      </c>
      <c r="H243" s="146">
        <v>1455</v>
      </c>
      <c r="I243" s="128"/>
      <c r="J243" s="146"/>
      <c r="K243" s="128"/>
      <c r="L243" s="146"/>
      <c r="M243" s="128"/>
      <c r="N243" s="146"/>
      <c r="O243" s="128"/>
      <c r="P243" s="146"/>
      <c r="Q243" s="128"/>
      <c r="R243" s="146"/>
      <c r="S243" s="128"/>
      <c r="T243" s="146"/>
      <c r="U243" s="128"/>
      <c r="V243" s="146"/>
      <c r="W243" s="128"/>
      <c r="X243" s="146"/>
      <c r="Y243" s="128"/>
      <c r="Z243" s="146"/>
      <c r="AA243" s="128"/>
      <c r="AB243" s="146"/>
      <c r="AC243" s="128"/>
      <c r="AD243" s="146"/>
      <c r="AE243" s="128"/>
      <c r="AF243" s="146"/>
      <c r="AG243" s="128"/>
      <c r="AH243" s="146"/>
      <c r="AI243" s="128"/>
      <c r="AJ243" s="146"/>
      <c r="AK243" s="128"/>
      <c r="AL243" s="146"/>
      <c r="AM243" s="128"/>
      <c r="AN243" s="146"/>
    </row>
    <row r="244" spans="1:40" s="121" customFormat="1" ht="15" customHeight="1">
      <c r="A244" s="141" t="s">
        <v>1032</v>
      </c>
      <c r="B244" s="141" t="s">
        <v>29</v>
      </c>
      <c r="C244" s="259">
        <v>158237</v>
      </c>
      <c r="D244" s="143">
        <v>14</v>
      </c>
      <c r="E244" s="128">
        <v>681</v>
      </c>
      <c r="F244" s="146">
        <v>927</v>
      </c>
      <c r="G244" s="128">
        <v>1169</v>
      </c>
      <c r="H244" s="146">
        <v>1455</v>
      </c>
      <c r="I244" s="128"/>
      <c r="J244" s="146"/>
      <c r="K244" s="128"/>
      <c r="L244" s="146"/>
      <c r="M244" s="128"/>
      <c r="N244" s="146"/>
      <c r="O244" s="128"/>
      <c r="P244" s="146"/>
      <c r="Q244" s="128"/>
      <c r="R244" s="146"/>
      <c r="S244" s="128"/>
      <c r="T244" s="146"/>
      <c r="U244" s="128"/>
      <c r="V244" s="146"/>
      <c r="W244" s="128"/>
      <c r="X244" s="146"/>
      <c r="Y244" s="128"/>
      <c r="Z244" s="146"/>
      <c r="AA244" s="128"/>
      <c r="AB244" s="146"/>
      <c r="AC244" s="128"/>
      <c r="AD244" s="146"/>
      <c r="AE244" s="128"/>
      <c r="AF244" s="146"/>
      <c r="AG244" s="128"/>
      <c r="AH244" s="146"/>
      <c r="AI244" s="128"/>
      <c r="AJ244" s="146"/>
      <c r="AK244" s="128"/>
      <c r="AL244" s="146"/>
      <c r="AM244" s="128"/>
      <c r="AN244" s="146"/>
    </row>
    <row r="245" spans="1:40" s="121" customFormat="1" ht="15" customHeight="1">
      <c r="A245" s="141" t="s">
        <v>1032</v>
      </c>
      <c r="B245" s="141" t="s">
        <v>30</v>
      </c>
      <c r="C245" s="259">
        <v>158307</v>
      </c>
      <c r="D245" s="143">
        <v>14</v>
      </c>
      <c r="E245" s="128">
        <v>681</v>
      </c>
      <c r="F245" s="146">
        <v>927</v>
      </c>
      <c r="G245" s="128">
        <v>1169</v>
      </c>
      <c r="H245" s="146">
        <v>1455</v>
      </c>
      <c r="I245" s="128"/>
      <c r="J245" s="146"/>
      <c r="K245" s="128"/>
      <c r="L245" s="146"/>
      <c r="M245" s="128"/>
      <c r="N245" s="146"/>
      <c r="O245" s="128"/>
      <c r="P245" s="146"/>
      <c r="Q245" s="128"/>
      <c r="R245" s="146"/>
      <c r="S245" s="128"/>
      <c r="T245" s="146"/>
      <c r="U245" s="128"/>
      <c r="V245" s="146"/>
      <c r="W245" s="128"/>
      <c r="X245" s="146"/>
      <c r="Y245" s="128"/>
      <c r="Z245" s="146"/>
      <c r="AA245" s="128"/>
      <c r="AB245" s="146"/>
      <c r="AC245" s="128"/>
      <c r="AD245" s="146"/>
      <c r="AE245" s="128"/>
      <c r="AF245" s="146"/>
      <c r="AG245" s="128"/>
      <c r="AH245" s="146"/>
      <c r="AI245" s="128"/>
      <c r="AJ245" s="146"/>
      <c r="AK245" s="128"/>
      <c r="AL245" s="146"/>
      <c r="AM245" s="128"/>
      <c r="AN245" s="146"/>
    </row>
    <row r="246" spans="1:40" s="121" customFormat="1" ht="15" customHeight="1">
      <c r="A246" s="141" t="s">
        <v>1032</v>
      </c>
      <c r="B246" s="141" t="s">
        <v>31</v>
      </c>
      <c r="C246" s="259">
        <v>158352</v>
      </c>
      <c r="D246" s="143">
        <v>14</v>
      </c>
      <c r="E246" s="128">
        <v>681</v>
      </c>
      <c r="F246" s="146">
        <v>927</v>
      </c>
      <c r="G246" s="128">
        <v>1169</v>
      </c>
      <c r="H246" s="146">
        <v>1455</v>
      </c>
      <c r="I246" s="128"/>
      <c r="J246" s="146"/>
      <c r="K246" s="128"/>
      <c r="L246" s="146"/>
      <c r="M246" s="128"/>
      <c r="N246" s="146"/>
      <c r="O246" s="128"/>
      <c r="P246" s="146"/>
      <c r="Q246" s="128"/>
      <c r="R246" s="146"/>
      <c r="S246" s="128"/>
      <c r="T246" s="146"/>
      <c r="U246" s="128"/>
      <c r="V246" s="146"/>
      <c r="W246" s="128"/>
      <c r="X246" s="146"/>
      <c r="Y246" s="128"/>
      <c r="Z246" s="146"/>
      <c r="AA246" s="128"/>
      <c r="AB246" s="146"/>
      <c r="AC246" s="128"/>
      <c r="AD246" s="146"/>
      <c r="AE246" s="128"/>
      <c r="AF246" s="146"/>
      <c r="AG246" s="128"/>
      <c r="AH246" s="146"/>
      <c r="AI246" s="128"/>
      <c r="AJ246" s="146"/>
      <c r="AK246" s="128"/>
      <c r="AL246" s="146"/>
      <c r="AM246" s="128"/>
      <c r="AN246" s="146"/>
    </row>
    <row r="247" spans="1:40" s="121" customFormat="1" ht="15" customHeight="1">
      <c r="A247" s="141" t="s">
        <v>1032</v>
      </c>
      <c r="B247" s="141" t="s">
        <v>32</v>
      </c>
      <c r="C247" s="142">
        <v>160816</v>
      </c>
      <c r="D247" s="143">
        <v>14</v>
      </c>
      <c r="E247" s="128">
        <v>681</v>
      </c>
      <c r="F247" s="146">
        <v>927</v>
      </c>
      <c r="G247" s="128">
        <v>1169</v>
      </c>
      <c r="H247" s="146">
        <v>1455</v>
      </c>
      <c r="I247" s="128"/>
      <c r="J247" s="146"/>
      <c r="K247" s="128"/>
      <c r="L247" s="146"/>
      <c r="M247" s="128"/>
      <c r="N247" s="146"/>
      <c r="O247" s="128"/>
      <c r="P247" s="146"/>
      <c r="Q247" s="128"/>
      <c r="R247" s="146"/>
      <c r="S247" s="128"/>
      <c r="T247" s="146"/>
      <c r="U247" s="128"/>
      <c r="V247" s="146"/>
      <c r="W247" s="128"/>
      <c r="X247" s="146"/>
      <c r="Y247" s="128"/>
      <c r="Z247" s="146"/>
      <c r="AA247" s="128"/>
      <c r="AB247" s="146"/>
      <c r="AC247" s="128"/>
      <c r="AD247" s="146"/>
      <c r="AE247" s="128"/>
      <c r="AF247" s="146"/>
      <c r="AG247" s="128"/>
      <c r="AH247" s="146"/>
      <c r="AI247" s="128"/>
      <c r="AJ247" s="146"/>
      <c r="AK247" s="128"/>
      <c r="AL247" s="146"/>
      <c r="AM247" s="128"/>
      <c r="AN247" s="146"/>
    </row>
    <row r="248" spans="1:40" s="121" customFormat="1" ht="15" customHeight="1">
      <c r="A248" s="141" t="s">
        <v>1032</v>
      </c>
      <c r="B248" s="141" t="s">
        <v>33</v>
      </c>
      <c r="C248" s="142">
        <v>158769</v>
      </c>
      <c r="D248" s="143">
        <v>14</v>
      </c>
      <c r="E248" s="128">
        <v>681</v>
      </c>
      <c r="F248" s="146">
        <v>927</v>
      </c>
      <c r="G248" s="128">
        <v>1169</v>
      </c>
      <c r="H248" s="146">
        <v>1455</v>
      </c>
      <c r="I248" s="128"/>
      <c r="J248" s="146"/>
      <c r="K248" s="128"/>
      <c r="L248" s="146"/>
      <c r="M248" s="128"/>
      <c r="N248" s="146"/>
      <c r="O248" s="128"/>
      <c r="P248" s="146"/>
      <c r="Q248" s="128"/>
      <c r="R248" s="146"/>
      <c r="S248" s="128"/>
      <c r="T248" s="146"/>
      <c r="U248" s="128"/>
      <c r="V248" s="146"/>
      <c r="W248" s="128"/>
      <c r="X248" s="146"/>
      <c r="Y248" s="128"/>
      <c r="Z248" s="146"/>
      <c r="AA248" s="128"/>
      <c r="AB248" s="146"/>
      <c r="AC248" s="128"/>
      <c r="AD248" s="146"/>
      <c r="AE248" s="128"/>
      <c r="AF248" s="146"/>
      <c r="AG248" s="128"/>
      <c r="AH248" s="146"/>
      <c r="AI248" s="128"/>
      <c r="AJ248" s="146"/>
      <c r="AK248" s="128"/>
      <c r="AL248" s="146"/>
      <c r="AM248" s="128"/>
      <c r="AN248" s="146"/>
    </row>
    <row r="249" spans="1:40" s="121" customFormat="1" ht="15" customHeight="1">
      <c r="A249" s="141" t="s">
        <v>1032</v>
      </c>
      <c r="B249" s="141" t="s">
        <v>34</v>
      </c>
      <c r="C249" s="259">
        <v>158893</v>
      </c>
      <c r="D249" s="143">
        <v>14</v>
      </c>
      <c r="E249" s="128">
        <v>681</v>
      </c>
      <c r="F249" s="146">
        <v>927</v>
      </c>
      <c r="G249" s="128">
        <v>1169</v>
      </c>
      <c r="H249" s="146">
        <v>1455</v>
      </c>
      <c r="I249" s="128"/>
      <c r="J249" s="146"/>
      <c r="K249" s="128"/>
      <c r="L249" s="146"/>
      <c r="M249" s="128"/>
      <c r="N249" s="146"/>
      <c r="O249" s="128"/>
      <c r="P249" s="146"/>
      <c r="Q249" s="128"/>
      <c r="R249" s="146"/>
      <c r="S249" s="128"/>
      <c r="T249" s="146"/>
      <c r="U249" s="128"/>
      <c r="V249" s="146"/>
      <c r="W249" s="128"/>
      <c r="X249" s="146"/>
      <c r="Y249" s="128"/>
      <c r="Z249" s="146"/>
      <c r="AA249" s="128"/>
      <c r="AB249" s="146"/>
      <c r="AC249" s="128"/>
      <c r="AD249" s="146"/>
      <c r="AE249" s="128"/>
      <c r="AF249" s="146"/>
      <c r="AG249" s="128"/>
      <c r="AH249" s="146"/>
      <c r="AI249" s="128"/>
      <c r="AJ249" s="146"/>
      <c r="AK249" s="128"/>
      <c r="AL249" s="146"/>
      <c r="AM249" s="128"/>
      <c r="AN249" s="146"/>
    </row>
    <row r="250" spans="1:40" s="121" customFormat="1" ht="15" customHeight="1">
      <c r="A250" s="141" t="s">
        <v>1032</v>
      </c>
      <c r="B250" s="141" t="s">
        <v>35</v>
      </c>
      <c r="C250" s="259">
        <v>158936</v>
      </c>
      <c r="D250" s="143">
        <v>14</v>
      </c>
      <c r="E250" s="128">
        <v>681</v>
      </c>
      <c r="F250" s="146">
        <v>927</v>
      </c>
      <c r="G250" s="128">
        <v>1169</v>
      </c>
      <c r="H250" s="146">
        <v>1455</v>
      </c>
      <c r="I250" s="128"/>
      <c r="J250" s="146"/>
      <c r="K250" s="128"/>
      <c r="L250" s="146"/>
      <c r="M250" s="128"/>
      <c r="N250" s="146"/>
      <c r="O250" s="128"/>
      <c r="P250" s="146"/>
      <c r="Q250" s="128"/>
      <c r="R250" s="146"/>
      <c r="S250" s="128"/>
      <c r="T250" s="146"/>
      <c r="U250" s="128"/>
      <c r="V250" s="146"/>
      <c r="W250" s="128"/>
      <c r="X250" s="146"/>
      <c r="Y250" s="128"/>
      <c r="Z250" s="146"/>
      <c r="AA250" s="128"/>
      <c r="AB250" s="146"/>
      <c r="AC250" s="128"/>
      <c r="AD250" s="146"/>
      <c r="AE250" s="128"/>
      <c r="AF250" s="146"/>
      <c r="AG250" s="128"/>
      <c r="AH250" s="146"/>
      <c r="AI250" s="128"/>
      <c r="AJ250" s="146"/>
      <c r="AK250" s="128"/>
      <c r="AL250" s="146"/>
      <c r="AM250" s="128"/>
      <c r="AN250" s="146"/>
    </row>
    <row r="251" spans="1:40" s="121" customFormat="1" ht="15" customHeight="1">
      <c r="A251" s="141" t="s">
        <v>1032</v>
      </c>
      <c r="B251" s="141" t="s">
        <v>36</v>
      </c>
      <c r="C251" s="259">
        <v>158945</v>
      </c>
      <c r="D251" s="143">
        <v>14</v>
      </c>
      <c r="E251" s="128">
        <v>681</v>
      </c>
      <c r="F251" s="146">
        <v>927</v>
      </c>
      <c r="G251" s="128">
        <v>1169</v>
      </c>
      <c r="H251" s="146">
        <v>1455</v>
      </c>
      <c r="I251" s="128"/>
      <c r="J251" s="146"/>
      <c r="K251" s="128"/>
      <c r="L251" s="146"/>
      <c r="M251" s="128"/>
      <c r="N251" s="146"/>
      <c r="O251" s="128"/>
      <c r="P251" s="146"/>
      <c r="Q251" s="128"/>
      <c r="R251" s="146"/>
      <c r="S251" s="128"/>
      <c r="T251" s="146"/>
      <c r="U251" s="128"/>
      <c r="V251" s="146"/>
      <c r="W251" s="128"/>
      <c r="X251" s="146"/>
      <c r="Y251" s="128"/>
      <c r="Z251" s="146"/>
      <c r="AA251" s="128"/>
      <c r="AB251" s="146"/>
      <c r="AC251" s="128"/>
      <c r="AD251" s="146"/>
      <c r="AE251" s="128"/>
      <c r="AF251" s="146"/>
      <c r="AG251" s="128"/>
      <c r="AH251" s="146"/>
      <c r="AI251" s="128"/>
      <c r="AJ251" s="146"/>
      <c r="AK251" s="128"/>
      <c r="AL251" s="146"/>
      <c r="AM251" s="128"/>
      <c r="AN251" s="146"/>
    </row>
    <row r="252" spans="1:40" s="121" customFormat="1" ht="15" customHeight="1">
      <c r="A252" s="141" t="s">
        <v>1032</v>
      </c>
      <c r="B252" s="141" t="s">
        <v>604</v>
      </c>
      <c r="C252" s="259">
        <v>159018</v>
      </c>
      <c r="D252" s="143">
        <v>14</v>
      </c>
      <c r="E252" s="128">
        <v>681</v>
      </c>
      <c r="F252" s="146">
        <v>927</v>
      </c>
      <c r="G252" s="128">
        <v>1169</v>
      </c>
      <c r="H252" s="146">
        <v>1455</v>
      </c>
      <c r="I252" s="128"/>
      <c r="J252" s="146"/>
      <c r="K252" s="128"/>
      <c r="L252" s="146"/>
      <c r="M252" s="128"/>
      <c r="N252" s="146"/>
      <c r="O252" s="128"/>
      <c r="P252" s="146"/>
      <c r="Q252" s="128"/>
      <c r="R252" s="146"/>
      <c r="S252" s="128"/>
      <c r="T252" s="146"/>
      <c r="U252" s="128"/>
      <c r="V252" s="146"/>
      <c r="W252" s="128"/>
      <c r="X252" s="146"/>
      <c r="Y252" s="128"/>
      <c r="Z252" s="146"/>
      <c r="AA252" s="128"/>
      <c r="AB252" s="146"/>
      <c r="AC252" s="128"/>
      <c r="AD252" s="146"/>
      <c r="AE252" s="128"/>
      <c r="AF252" s="146"/>
      <c r="AG252" s="128"/>
      <c r="AH252" s="146"/>
      <c r="AI252" s="128"/>
      <c r="AJ252" s="146"/>
      <c r="AK252" s="128"/>
      <c r="AL252" s="146"/>
      <c r="AM252" s="128"/>
      <c r="AN252" s="146"/>
    </row>
    <row r="253" spans="1:40" s="121" customFormat="1" ht="15" customHeight="1">
      <c r="A253" s="141" t="s">
        <v>1032</v>
      </c>
      <c r="B253" s="141" t="s">
        <v>605</v>
      </c>
      <c r="C253" s="142">
        <v>159045</v>
      </c>
      <c r="D253" s="143">
        <v>14</v>
      </c>
      <c r="E253" s="128">
        <v>681</v>
      </c>
      <c r="F253" s="146">
        <v>927</v>
      </c>
      <c r="G253" s="128">
        <v>1169</v>
      </c>
      <c r="H253" s="146">
        <v>1455</v>
      </c>
      <c r="I253" s="128"/>
      <c r="J253" s="146"/>
      <c r="K253" s="128"/>
      <c r="L253" s="146"/>
      <c r="M253" s="128"/>
      <c r="N253" s="146"/>
      <c r="O253" s="128"/>
      <c r="P253" s="146"/>
      <c r="Q253" s="128"/>
      <c r="R253" s="146"/>
      <c r="S253" s="128"/>
      <c r="T253" s="146"/>
      <c r="U253" s="128"/>
      <c r="V253" s="146"/>
      <c r="W253" s="128"/>
      <c r="X253" s="146"/>
      <c r="Y253" s="128"/>
      <c r="Z253" s="146"/>
      <c r="AA253" s="128"/>
      <c r="AB253" s="146"/>
      <c r="AC253" s="128"/>
      <c r="AD253" s="146"/>
      <c r="AE253" s="128"/>
      <c r="AF253" s="146"/>
      <c r="AG253" s="128"/>
      <c r="AH253" s="146"/>
      <c r="AI253" s="128"/>
      <c r="AJ253" s="146"/>
      <c r="AK253" s="128"/>
      <c r="AL253" s="146"/>
      <c r="AM253" s="128"/>
      <c r="AN253" s="146"/>
    </row>
    <row r="254" spans="1:40" s="121" customFormat="1" ht="15" customHeight="1">
      <c r="A254" s="141" t="s">
        <v>1032</v>
      </c>
      <c r="B254" s="141" t="s">
        <v>606</v>
      </c>
      <c r="C254" s="259">
        <v>159090</v>
      </c>
      <c r="D254" s="143">
        <v>14</v>
      </c>
      <c r="E254" s="128">
        <v>681</v>
      </c>
      <c r="F254" s="146">
        <v>927</v>
      </c>
      <c r="G254" s="128">
        <v>1169</v>
      </c>
      <c r="H254" s="146">
        <v>1455</v>
      </c>
      <c r="I254" s="128"/>
      <c r="J254" s="146"/>
      <c r="K254" s="128"/>
      <c r="L254" s="146"/>
      <c r="M254" s="128"/>
      <c r="N254" s="146"/>
      <c r="O254" s="128"/>
      <c r="P254" s="146"/>
      <c r="Q254" s="128"/>
      <c r="R254" s="146"/>
      <c r="S254" s="128"/>
      <c r="T254" s="146"/>
      <c r="U254" s="128"/>
      <c r="V254" s="146"/>
      <c r="W254" s="128"/>
      <c r="X254" s="146"/>
      <c r="Y254" s="128"/>
      <c r="Z254" s="146"/>
      <c r="AA254" s="128"/>
      <c r="AB254" s="146"/>
      <c r="AC254" s="128"/>
      <c r="AD254" s="146"/>
      <c r="AE254" s="128"/>
      <c r="AF254" s="146"/>
      <c r="AG254" s="128"/>
      <c r="AH254" s="146"/>
      <c r="AI254" s="128"/>
      <c r="AJ254" s="146"/>
      <c r="AK254" s="128"/>
      <c r="AL254" s="146"/>
      <c r="AM254" s="128"/>
      <c r="AN254" s="146"/>
    </row>
    <row r="255" spans="1:40" s="121" customFormat="1" ht="15" customHeight="1">
      <c r="A255" s="141" t="s">
        <v>1032</v>
      </c>
      <c r="B255" s="141" t="s">
        <v>607</v>
      </c>
      <c r="C255" s="259">
        <v>159258</v>
      </c>
      <c r="D255" s="143">
        <v>14</v>
      </c>
      <c r="E255" s="128">
        <v>681</v>
      </c>
      <c r="F255" s="146">
        <v>927</v>
      </c>
      <c r="G255" s="128">
        <v>1169</v>
      </c>
      <c r="H255" s="146">
        <v>1455</v>
      </c>
      <c r="I255" s="128"/>
      <c r="J255" s="146"/>
      <c r="K255" s="128"/>
      <c r="L255" s="146"/>
      <c r="M255" s="128"/>
      <c r="N255" s="146"/>
      <c r="O255" s="128"/>
      <c r="P255" s="146"/>
      <c r="Q255" s="128"/>
      <c r="R255" s="146"/>
      <c r="S255" s="128"/>
      <c r="T255" s="146"/>
      <c r="U255" s="128"/>
      <c r="V255" s="146"/>
      <c r="W255" s="128"/>
      <c r="X255" s="146"/>
      <c r="Y255" s="128"/>
      <c r="Z255" s="146"/>
      <c r="AA255" s="128"/>
      <c r="AB255" s="146"/>
      <c r="AC255" s="128"/>
      <c r="AD255" s="146"/>
      <c r="AE255" s="128"/>
      <c r="AF255" s="146"/>
      <c r="AG255" s="128"/>
      <c r="AH255" s="146"/>
      <c r="AI255" s="128"/>
      <c r="AJ255" s="146"/>
      <c r="AK255" s="128"/>
      <c r="AL255" s="146"/>
      <c r="AM255" s="128"/>
      <c r="AN255" s="146"/>
    </row>
    <row r="256" spans="1:40" s="121" customFormat="1" ht="15" customHeight="1">
      <c r="A256" s="141" t="s">
        <v>1032</v>
      </c>
      <c r="B256" s="141" t="s">
        <v>608</v>
      </c>
      <c r="C256" s="259">
        <v>160214</v>
      </c>
      <c r="D256" s="143">
        <v>14</v>
      </c>
      <c r="E256" s="128">
        <v>681</v>
      </c>
      <c r="F256" s="146">
        <v>927</v>
      </c>
      <c r="G256" s="128">
        <v>1169</v>
      </c>
      <c r="H256" s="146">
        <v>1455</v>
      </c>
      <c r="I256" s="128"/>
      <c r="J256" s="146"/>
      <c r="K256" s="128"/>
      <c r="L256" s="146"/>
      <c r="M256" s="128"/>
      <c r="N256" s="146"/>
      <c r="O256" s="128"/>
      <c r="P256" s="146"/>
      <c r="Q256" s="128"/>
      <c r="R256" s="146"/>
      <c r="S256" s="128"/>
      <c r="T256" s="146"/>
      <c r="U256" s="128"/>
      <c r="V256" s="146"/>
      <c r="W256" s="128"/>
      <c r="X256" s="146"/>
      <c r="Y256" s="128"/>
      <c r="Z256" s="146"/>
      <c r="AA256" s="128"/>
      <c r="AB256" s="146"/>
      <c r="AC256" s="128"/>
      <c r="AD256" s="146"/>
      <c r="AE256" s="128"/>
      <c r="AF256" s="146"/>
      <c r="AG256" s="128"/>
      <c r="AH256" s="146"/>
      <c r="AI256" s="128"/>
      <c r="AJ256" s="146"/>
      <c r="AK256" s="128"/>
      <c r="AL256" s="146"/>
      <c r="AM256" s="128"/>
      <c r="AN256" s="146"/>
    </row>
    <row r="257" spans="1:40" s="121" customFormat="1" ht="15" customHeight="1">
      <c r="A257" s="141" t="s">
        <v>1032</v>
      </c>
      <c r="B257" s="141" t="s">
        <v>609</v>
      </c>
      <c r="C257" s="259">
        <v>159443</v>
      </c>
      <c r="D257" s="143">
        <v>14</v>
      </c>
      <c r="E257" s="128">
        <v>681</v>
      </c>
      <c r="F257" s="146">
        <v>927</v>
      </c>
      <c r="G257" s="128">
        <v>1169</v>
      </c>
      <c r="H257" s="146">
        <v>1455</v>
      </c>
      <c r="I257" s="128"/>
      <c r="J257" s="146"/>
      <c r="K257" s="128"/>
      <c r="L257" s="146"/>
      <c r="M257" s="128"/>
      <c r="N257" s="146"/>
      <c r="O257" s="128"/>
      <c r="P257" s="146"/>
      <c r="Q257" s="128"/>
      <c r="R257" s="146"/>
      <c r="S257" s="128"/>
      <c r="T257" s="146"/>
      <c r="U257" s="128"/>
      <c r="V257" s="146"/>
      <c r="W257" s="128"/>
      <c r="X257" s="146"/>
      <c r="Y257" s="128"/>
      <c r="Z257" s="146"/>
      <c r="AA257" s="128"/>
      <c r="AB257" s="146"/>
      <c r="AC257" s="128"/>
      <c r="AD257" s="146"/>
      <c r="AE257" s="128"/>
      <c r="AF257" s="146"/>
      <c r="AG257" s="128"/>
      <c r="AH257" s="146"/>
      <c r="AI257" s="128"/>
      <c r="AJ257" s="146"/>
      <c r="AK257" s="128"/>
      <c r="AL257" s="146"/>
      <c r="AM257" s="128"/>
      <c r="AN257" s="146"/>
    </row>
    <row r="258" spans="1:40" s="121" customFormat="1" ht="15" customHeight="1">
      <c r="A258" s="141" t="s">
        <v>1032</v>
      </c>
      <c r="B258" s="141" t="s">
        <v>610</v>
      </c>
      <c r="C258" s="259">
        <v>160719</v>
      </c>
      <c r="D258" s="143">
        <v>14</v>
      </c>
      <c r="E258" s="128">
        <v>681</v>
      </c>
      <c r="F258" s="146">
        <v>927</v>
      </c>
      <c r="G258" s="128">
        <v>1169</v>
      </c>
      <c r="H258" s="146">
        <v>1455</v>
      </c>
      <c r="I258" s="128"/>
      <c r="J258" s="146"/>
      <c r="K258" s="128"/>
      <c r="L258" s="146"/>
      <c r="M258" s="128"/>
      <c r="N258" s="146"/>
      <c r="O258" s="128"/>
      <c r="P258" s="146"/>
      <c r="Q258" s="128"/>
      <c r="R258" s="146"/>
      <c r="S258" s="128"/>
      <c r="T258" s="146"/>
      <c r="U258" s="128"/>
      <c r="V258" s="146"/>
      <c r="W258" s="128"/>
      <c r="X258" s="146"/>
      <c r="Y258" s="128"/>
      <c r="Z258" s="146"/>
      <c r="AA258" s="128"/>
      <c r="AB258" s="146"/>
      <c r="AC258" s="128"/>
      <c r="AD258" s="146"/>
      <c r="AE258" s="128"/>
      <c r="AF258" s="146"/>
      <c r="AG258" s="128"/>
      <c r="AH258" s="146"/>
      <c r="AI258" s="128"/>
      <c r="AJ258" s="146"/>
      <c r="AK258" s="128"/>
      <c r="AL258" s="146"/>
      <c r="AM258" s="128"/>
      <c r="AN258" s="146"/>
    </row>
    <row r="259" spans="1:40" s="121" customFormat="1" ht="15" customHeight="1">
      <c r="A259" s="141" t="s">
        <v>1032</v>
      </c>
      <c r="B259" s="141" t="s">
        <v>611</v>
      </c>
      <c r="C259" s="259">
        <v>160843</v>
      </c>
      <c r="D259" s="143">
        <v>14</v>
      </c>
      <c r="E259" s="128">
        <v>681</v>
      </c>
      <c r="F259" s="146">
        <v>927</v>
      </c>
      <c r="G259" s="128">
        <v>1169</v>
      </c>
      <c r="H259" s="146">
        <v>1455</v>
      </c>
      <c r="I259" s="128"/>
      <c r="J259" s="146"/>
      <c r="K259" s="128"/>
      <c r="L259" s="146"/>
      <c r="M259" s="128"/>
      <c r="N259" s="146"/>
      <c r="O259" s="128"/>
      <c r="P259" s="146"/>
      <c r="Q259" s="128"/>
      <c r="R259" s="146"/>
      <c r="S259" s="128"/>
      <c r="T259" s="146"/>
      <c r="U259" s="128"/>
      <c r="V259" s="146"/>
      <c r="W259" s="128"/>
      <c r="X259" s="146"/>
      <c r="Y259" s="128"/>
      <c r="Z259" s="146"/>
      <c r="AA259" s="128"/>
      <c r="AB259" s="146"/>
      <c r="AC259" s="128"/>
      <c r="AD259" s="146"/>
      <c r="AE259" s="128"/>
      <c r="AF259" s="146"/>
      <c r="AG259" s="128"/>
      <c r="AH259" s="146"/>
      <c r="AI259" s="128"/>
      <c r="AJ259" s="146"/>
      <c r="AK259" s="128"/>
      <c r="AL259" s="146"/>
      <c r="AM259" s="128"/>
      <c r="AN259" s="146"/>
    </row>
    <row r="260" spans="1:40" s="121" customFormat="1" ht="15" customHeight="1">
      <c r="A260" s="141" t="s">
        <v>1032</v>
      </c>
      <c r="B260" s="141" t="s">
        <v>612</v>
      </c>
      <c r="C260" s="259">
        <v>159692</v>
      </c>
      <c r="D260" s="143">
        <v>14</v>
      </c>
      <c r="E260" s="128">
        <v>681</v>
      </c>
      <c r="F260" s="146">
        <v>927</v>
      </c>
      <c r="G260" s="128">
        <v>1169</v>
      </c>
      <c r="H260" s="146">
        <v>1455</v>
      </c>
      <c r="I260" s="128"/>
      <c r="J260" s="146"/>
      <c r="K260" s="128"/>
      <c r="L260" s="146"/>
      <c r="M260" s="128"/>
      <c r="N260" s="146"/>
      <c r="O260" s="128"/>
      <c r="P260" s="146"/>
      <c r="Q260" s="128"/>
      <c r="R260" s="146"/>
      <c r="S260" s="128"/>
      <c r="T260" s="146"/>
      <c r="U260" s="128"/>
      <c r="V260" s="146"/>
      <c r="W260" s="128"/>
      <c r="X260" s="146"/>
      <c r="Y260" s="128"/>
      <c r="Z260" s="146"/>
      <c r="AA260" s="128"/>
      <c r="AB260" s="146"/>
      <c r="AC260" s="128"/>
      <c r="AD260" s="146"/>
      <c r="AE260" s="128"/>
      <c r="AF260" s="146"/>
      <c r="AG260" s="128"/>
      <c r="AH260" s="146"/>
      <c r="AI260" s="128"/>
      <c r="AJ260" s="146"/>
      <c r="AK260" s="128"/>
      <c r="AL260" s="146"/>
      <c r="AM260" s="128"/>
      <c r="AN260" s="146"/>
    </row>
    <row r="261" spans="1:40" s="121" customFormat="1" ht="15" customHeight="1">
      <c r="A261" s="141" t="s">
        <v>1032</v>
      </c>
      <c r="B261" s="141" t="s">
        <v>55</v>
      </c>
      <c r="C261" s="142">
        <v>159249</v>
      </c>
      <c r="D261" s="143">
        <v>14</v>
      </c>
      <c r="E261" s="128">
        <v>681</v>
      </c>
      <c r="F261" s="146">
        <v>927</v>
      </c>
      <c r="G261" s="128">
        <v>1169</v>
      </c>
      <c r="H261" s="146">
        <v>1455</v>
      </c>
      <c r="I261" s="128"/>
      <c r="J261" s="146"/>
      <c r="K261" s="128"/>
      <c r="L261" s="146"/>
      <c r="M261" s="128"/>
      <c r="N261" s="146"/>
      <c r="O261" s="128"/>
      <c r="P261" s="146"/>
      <c r="Q261" s="128"/>
      <c r="R261" s="146"/>
      <c r="S261" s="128"/>
      <c r="T261" s="146"/>
      <c r="U261" s="128"/>
      <c r="V261" s="146"/>
      <c r="W261" s="128"/>
      <c r="X261" s="146"/>
      <c r="Y261" s="128"/>
      <c r="Z261" s="146"/>
      <c r="AA261" s="128"/>
      <c r="AB261" s="146"/>
      <c r="AC261" s="128"/>
      <c r="AD261" s="146"/>
      <c r="AE261" s="128"/>
      <c r="AF261" s="146"/>
      <c r="AG261" s="128"/>
      <c r="AH261" s="146"/>
      <c r="AI261" s="128"/>
      <c r="AJ261" s="146"/>
      <c r="AK261" s="128"/>
      <c r="AL261" s="146"/>
      <c r="AM261" s="128"/>
      <c r="AN261" s="146"/>
    </row>
    <row r="262" spans="1:40" s="121" customFormat="1" ht="15" customHeight="1">
      <c r="A262" s="141" t="s">
        <v>1032</v>
      </c>
      <c r="B262" s="141" t="s">
        <v>56</v>
      </c>
      <c r="C262" s="259">
        <v>159823</v>
      </c>
      <c r="D262" s="143">
        <v>14</v>
      </c>
      <c r="E262" s="128">
        <v>681</v>
      </c>
      <c r="F262" s="146">
        <v>927</v>
      </c>
      <c r="G262" s="128">
        <v>1169</v>
      </c>
      <c r="H262" s="146">
        <v>1455</v>
      </c>
      <c r="I262" s="128"/>
      <c r="J262" s="146"/>
      <c r="K262" s="128"/>
      <c r="L262" s="146"/>
      <c r="M262" s="128"/>
      <c r="N262" s="146"/>
      <c r="O262" s="128"/>
      <c r="P262" s="146"/>
      <c r="Q262" s="128"/>
      <c r="R262" s="146"/>
      <c r="S262" s="128"/>
      <c r="T262" s="146"/>
      <c r="U262" s="128"/>
      <c r="V262" s="146"/>
      <c r="W262" s="128"/>
      <c r="X262" s="146"/>
      <c r="Y262" s="128"/>
      <c r="Z262" s="146"/>
      <c r="AA262" s="128"/>
      <c r="AB262" s="146"/>
      <c r="AC262" s="128"/>
      <c r="AD262" s="146"/>
      <c r="AE262" s="128"/>
      <c r="AF262" s="146"/>
      <c r="AG262" s="128"/>
      <c r="AH262" s="146"/>
      <c r="AI262" s="128"/>
      <c r="AJ262" s="146"/>
      <c r="AK262" s="128"/>
      <c r="AL262" s="146"/>
      <c r="AM262" s="128"/>
      <c r="AN262" s="146"/>
    </row>
    <row r="263" spans="1:40" s="121" customFormat="1" ht="15" customHeight="1">
      <c r="A263" s="141" t="s">
        <v>1032</v>
      </c>
      <c r="B263" s="141" t="s">
        <v>57</v>
      </c>
      <c r="C263" s="259">
        <v>159984</v>
      </c>
      <c r="D263" s="143">
        <v>14</v>
      </c>
      <c r="E263" s="128">
        <v>681</v>
      </c>
      <c r="F263" s="146">
        <v>927</v>
      </c>
      <c r="G263" s="128">
        <v>1169</v>
      </c>
      <c r="H263" s="146">
        <v>1455</v>
      </c>
      <c r="I263" s="128"/>
      <c r="J263" s="146"/>
      <c r="K263" s="128"/>
      <c r="L263" s="146"/>
      <c r="M263" s="128"/>
      <c r="N263" s="146"/>
      <c r="O263" s="128"/>
      <c r="P263" s="146"/>
      <c r="Q263" s="128"/>
      <c r="R263" s="146"/>
      <c r="S263" s="128"/>
      <c r="T263" s="146"/>
      <c r="U263" s="128"/>
      <c r="V263" s="146"/>
      <c r="W263" s="128"/>
      <c r="X263" s="146"/>
      <c r="Y263" s="128"/>
      <c r="Z263" s="146"/>
      <c r="AA263" s="128"/>
      <c r="AB263" s="146"/>
      <c r="AC263" s="128"/>
      <c r="AD263" s="146"/>
      <c r="AE263" s="128"/>
      <c r="AF263" s="146"/>
      <c r="AG263" s="128"/>
      <c r="AH263" s="146"/>
      <c r="AI263" s="128"/>
      <c r="AJ263" s="146"/>
      <c r="AK263" s="128"/>
      <c r="AL263" s="146"/>
      <c r="AM263" s="128"/>
      <c r="AN263" s="146"/>
    </row>
    <row r="264" spans="1:40" s="121" customFormat="1" ht="15" customHeight="1">
      <c r="A264" s="141" t="s">
        <v>1032</v>
      </c>
      <c r="B264" s="141" t="s">
        <v>58</v>
      </c>
      <c r="C264" s="259">
        <v>160001</v>
      </c>
      <c r="D264" s="143">
        <v>14</v>
      </c>
      <c r="E264" s="128">
        <v>681</v>
      </c>
      <c r="F264" s="146">
        <v>927</v>
      </c>
      <c r="G264" s="128">
        <v>1169</v>
      </c>
      <c r="H264" s="146">
        <v>1455</v>
      </c>
      <c r="I264" s="128"/>
      <c r="J264" s="146"/>
      <c r="K264" s="128"/>
      <c r="L264" s="146"/>
      <c r="M264" s="128"/>
      <c r="N264" s="146"/>
      <c r="O264" s="128"/>
      <c r="P264" s="146"/>
      <c r="Q264" s="128"/>
      <c r="R264" s="146"/>
      <c r="S264" s="128"/>
      <c r="T264" s="146"/>
      <c r="U264" s="128"/>
      <c r="V264" s="146"/>
      <c r="W264" s="128"/>
      <c r="X264" s="146"/>
      <c r="Y264" s="128"/>
      <c r="Z264" s="146"/>
      <c r="AA264" s="128"/>
      <c r="AB264" s="146"/>
      <c r="AC264" s="128"/>
      <c r="AD264" s="146"/>
      <c r="AE264" s="128"/>
      <c r="AF264" s="146"/>
      <c r="AG264" s="128"/>
      <c r="AH264" s="146"/>
      <c r="AI264" s="128"/>
      <c r="AJ264" s="146"/>
      <c r="AK264" s="128"/>
      <c r="AL264" s="146"/>
      <c r="AM264" s="128"/>
      <c r="AN264" s="146"/>
    </row>
    <row r="265" spans="1:40" s="121" customFormat="1" ht="15" customHeight="1">
      <c r="A265" s="141" t="s">
        <v>1032</v>
      </c>
      <c r="B265" s="141" t="s">
        <v>59</v>
      </c>
      <c r="C265" s="259">
        <v>160010</v>
      </c>
      <c r="D265" s="143">
        <v>14</v>
      </c>
      <c r="E265" s="128">
        <v>681</v>
      </c>
      <c r="F265" s="146">
        <v>927</v>
      </c>
      <c r="G265" s="128">
        <v>1169</v>
      </c>
      <c r="H265" s="146">
        <v>1455</v>
      </c>
      <c r="I265" s="128"/>
      <c r="J265" s="146"/>
      <c r="K265" s="128"/>
      <c r="L265" s="146"/>
      <c r="M265" s="128"/>
      <c r="N265" s="146"/>
      <c r="O265" s="128"/>
      <c r="P265" s="146"/>
      <c r="Q265" s="128"/>
      <c r="R265" s="146"/>
      <c r="S265" s="128"/>
      <c r="T265" s="146"/>
      <c r="U265" s="128"/>
      <c r="V265" s="146"/>
      <c r="W265" s="128"/>
      <c r="X265" s="146"/>
      <c r="Y265" s="128"/>
      <c r="Z265" s="146"/>
      <c r="AA265" s="128"/>
      <c r="AB265" s="146"/>
      <c r="AC265" s="128"/>
      <c r="AD265" s="146"/>
      <c r="AE265" s="128"/>
      <c r="AF265" s="146"/>
      <c r="AG265" s="128"/>
      <c r="AH265" s="146"/>
      <c r="AI265" s="128"/>
      <c r="AJ265" s="146"/>
      <c r="AK265" s="128"/>
      <c r="AL265" s="146"/>
      <c r="AM265" s="128"/>
      <c r="AN265" s="146"/>
    </row>
    <row r="266" spans="1:40" s="121" customFormat="1" ht="15" customHeight="1">
      <c r="A266" s="141" t="s">
        <v>1032</v>
      </c>
      <c r="B266" s="141" t="s">
        <v>60</v>
      </c>
      <c r="C266" s="259">
        <v>160047</v>
      </c>
      <c r="D266" s="143">
        <v>14</v>
      </c>
      <c r="E266" s="128">
        <v>681</v>
      </c>
      <c r="F266" s="146">
        <v>927</v>
      </c>
      <c r="G266" s="128">
        <v>1169</v>
      </c>
      <c r="H266" s="146">
        <v>1455</v>
      </c>
      <c r="I266" s="128"/>
      <c r="J266" s="146"/>
      <c r="K266" s="128"/>
      <c r="L266" s="146"/>
      <c r="M266" s="128"/>
      <c r="N266" s="146"/>
      <c r="O266" s="128"/>
      <c r="P266" s="146"/>
      <c r="Q266" s="128"/>
      <c r="R266" s="146"/>
      <c r="S266" s="128"/>
      <c r="T266" s="146"/>
      <c r="U266" s="128"/>
      <c r="V266" s="146"/>
      <c r="W266" s="128"/>
      <c r="X266" s="146"/>
      <c r="Y266" s="128"/>
      <c r="Z266" s="146"/>
      <c r="AA266" s="128"/>
      <c r="AB266" s="146"/>
      <c r="AC266" s="128"/>
      <c r="AD266" s="146"/>
      <c r="AE266" s="128"/>
      <c r="AF266" s="146"/>
      <c r="AG266" s="128"/>
      <c r="AH266" s="146"/>
      <c r="AI266" s="128"/>
      <c r="AJ266" s="146"/>
      <c r="AK266" s="128"/>
      <c r="AL266" s="146"/>
      <c r="AM266" s="128"/>
      <c r="AN266" s="146"/>
    </row>
    <row r="267" spans="1:40" s="121" customFormat="1" ht="15" customHeight="1">
      <c r="A267" s="141" t="s">
        <v>1032</v>
      </c>
      <c r="B267" s="141" t="s">
        <v>61</v>
      </c>
      <c r="C267" s="259">
        <v>160311</v>
      </c>
      <c r="D267" s="143">
        <v>14</v>
      </c>
      <c r="E267" s="128">
        <v>681</v>
      </c>
      <c r="F267" s="146">
        <v>927</v>
      </c>
      <c r="G267" s="128">
        <v>1169</v>
      </c>
      <c r="H267" s="146">
        <v>1455</v>
      </c>
      <c r="I267" s="128"/>
      <c r="J267" s="146"/>
      <c r="K267" s="128"/>
      <c r="L267" s="146"/>
      <c r="M267" s="128"/>
      <c r="N267" s="146"/>
      <c r="O267" s="128"/>
      <c r="P267" s="146"/>
      <c r="Q267" s="128"/>
      <c r="R267" s="146"/>
      <c r="S267" s="128"/>
      <c r="T267" s="146"/>
      <c r="U267" s="128"/>
      <c r="V267" s="146"/>
      <c r="W267" s="128"/>
      <c r="X267" s="146"/>
      <c r="Y267" s="128"/>
      <c r="Z267" s="146"/>
      <c r="AA267" s="128"/>
      <c r="AB267" s="146"/>
      <c r="AC267" s="128"/>
      <c r="AD267" s="146"/>
      <c r="AE267" s="128"/>
      <c r="AF267" s="146"/>
      <c r="AG267" s="128"/>
      <c r="AH267" s="146"/>
      <c r="AI267" s="128"/>
      <c r="AJ267" s="146"/>
      <c r="AK267" s="128"/>
      <c r="AL267" s="146"/>
      <c r="AM267" s="128"/>
      <c r="AN267" s="146"/>
    </row>
    <row r="268" spans="1:40" s="121" customFormat="1" ht="15" customHeight="1">
      <c r="A268" s="141" t="s">
        <v>1032</v>
      </c>
      <c r="B268" s="141" t="s">
        <v>62</v>
      </c>
      <c r="C268" s="259">
        <v>160366</v>
      </c>
      <c r="D268" s="143">
        <v>14</v>
      </c>
      <c r="E268" s="128">
        <v>681</v>
      </c>
      <c r="F268" s="146">
        <v>927</v>
      </c>
      <c r="G268" s="128">
        <v>1169</v>
      </c>
      <c r="H268" s="146">
        <v>1455</v>
      </c>
      <c r="I268" s="128"/>
      <c r="J268" s="146"/>
      <c r="K268" s="128"/>
      <c r="L268" s="146"/>
      <c r="M268" s="128"/>
      <c r="N268" s="146"/>
      <c r="O268" s="128"/>
      <c r="P268" s="146"/>
      <c r="Q268" s="128"/>
      <c r="R268" s="146"/>
      <c r="S268" s="128"/>
      <c r="T268" s="146"/>
      <c r="U268" s="128"/>
      <c r="V268" s="146"/>
      <c r="W268" s="128"/>
      <c r="X268" s="146"/>
      <c r="Y268" s="128"/>
      <c r="Z268" s="146"/>
      <c r="AA268" s="128"/>
      <c r="AB268" s="146"/>
      <c r="AC268" s="128"/>
      <c r="AD268" s="146"/>
      <c r="AE268" s="128"/>
      <c r="AF268" s="146"/>
      <c r="AG268" s="128"/>
      <c r="AH268" s="146"/>
      <c r="AI268" s="128"/>
      <c r="AJ268" s="146"/>
      <c r="AK268" s="128"/>
      <c r="AL268" s="146"/>
      <c r="AM268" s="128"/>
      <c r="AN268" s="146"/>
    </row>
    <row r="269" spans="1:40" s="121" customFormat="1" ht="15" customHeight="1">
      <c r="A269" s="141" t="s">
        <v>1032</v>
      </c>
      <c r="B269" s="141" t="s">
        <v>65</v>
      </c>
      <c r="C269" s="259">
        <v>160384</v>
      </c>
      <c r="D269" s="143">
        <v>14</v>
      </c>
      <c r="E269" s="128">
        <v>681</v>
      </c>
      <c r="F269" s="146">
        <v>927</v>
      </c>
      <c r="G269" s="128">
        <v>1169</v>
      </c>
      <c r="H269" s="146">
        <v>1455</v>
      </c>
      <c r="I269" s="128"/>
      <c r="J269" s="146"/>
      <c r="K269" s="128"/>
      <c r="L269" s="146"/>
      <c r="M269" s="128"/>
      <c r="N269" s="146"/>
      <c r="O269" s="128"/>
      <c r="P269" s="146"/>
      <c r="Q269" s="128"/>
      <c r="R269" s="146"/>
      <c r="S269" s="128"/>
      <c r="T269" s="146"/>
      <c r="U269" s="128"/>
      <c r="V269" s="146"/>
      <c r="W269" s="128"/>
      <c r="X269" s="146"/>
      <c r="Y269" s="128"/>
      <c r="Z269" s="146"/>
      <c r="AA269" s="128"/>
      <c r="AB269" s="146"/>
      <c r="AC269" s="128"/>
      <c r="AD269" s="146"/>
      <c r="AE269" s="128"/>
      <c r="AF269" s="146"/>
      <c r="AG269" s="128"/>
      <c r="AH269" s="146"/>
      <c r="AI269" s="128"/>
      <c r="AJ269" s="146"/>
      <c r="AK269" s="128"/>
      <c r="AL269" s="146"/>
      <c r="AM269" s="128"/>
      <c r="AN269" s="146"/>
    </row>
    <row r="270" spans="1:40" s="121" customFormat="1" ht="15" customHeight="1">
      <c r="A270" s="141" t="s">
        <v>1032</v>
      </c>
      <c r="B270" s="141" t="s">
        <v>66</v>
      </c>
      <c r="C270" s="259">
        <v>158583</v>
      </c>
      <c r="D270" s="143">
        <v>14</v>
      </c>
      <c r="E270" s="128">
        <v>681</v>
      </c>
      <c r="F270" s="146">
        <v>927</v>
      </c>
      <c r="G270" s="128">
        <v>1169</v>
      </c>
      <c r="H270" s="146">
        <v>1455</v>
      </c>
      <c r="I270" s="128"/>
      <c r="J270" s="146"/>
      <c r="K270" s="128"/>
      <c r="L270" s="146"/>
      <c r="M270" s="128"/>
      <c r="N270" s="146"/>
      <c r="O270" s="128"/>
      <c r="P270" s="146"/>
      <c r="Q270" s="128"/>
      <c r="R270" s="146"/>
      <c r="S270" s="128"/>
      <c r="T270" s="146"/>
      <c r="U270" s="128"/>
      <c r="V270" s="146"/>
      <c r="W270" s="128"/>
      <c r="X270" s="146"/>
      <c r="Y270" s="128"/>
      <c r="Z270" s="146"/>
      <c r="AA270" s="128"/>
      <c r="AB270" s="146"/>
      <c r="AC270" s="128"/>
      <c r="AD270" s="146"/>
      <c r="AE270" s="128"/>
      <c r="AF270" s="146"/>
      <c r="AG270" s="128"/>
      <c r="AH270" s="146"/>
      <c r="AI270" s="128"/>
      <c r="AJ270" s="146"/>
      <c r="AK270" s="128"/>
      <c r="AL270" s="146"/>
      <c r="AM270" s="128"/>
      <c r="AN270" s="146"/>
    </row>
    <row r="271" spans="1:40" s="121" customFormat="1" ht="15" customHeight="1">
      <c r="A271" s="141" t="s">
        <v>1032</v>
      </c>
      <c r="B271" s="141" t="s">
        <v>642</v>
      </c>
      <c r="C271" s="259">
        <v>160427</v>
      </c>
      <c r="D271" s="143">
        <v>14</v>
      </c>
      <c r="E271" s="128">
        <v>681</v>
      </c>
      <c r="F271" s="146">
        <v>927</v>
      </c>
      <c r="G271" s="128">
        <v>1169</v>
      </c>
      <c r="H271" s="146">
        <v>1455</v>
      </c>
      <c r="I271" s="128"/>
      <c r="J271" s="146"/>
      <c r="K271" s="128"/>
      <c r="L271" s="146"/>
      <c r="M271" s="128"/>
      <c r="N271" s="146"/>
      <c r="O271" s="128"/>
      <c r="P271" s="146"/>
      <c r="Q271" s="128"/>
      <c r="R271" s="146"/>
      <c r="S271" s="128"/>
      <c r="T271" s="146"/>
      <c r="U271" s="128"/>
      <c r="V271" s="146"/>
      <c r="W271" s="128"/>
      <c r="X271" s="146"/>
      <c r="Y271" s="128"/>
      <c r="Z271" s="146"/>
      <c r="AA271" s="128"/>
      <c r="AB271" s="146"/>
      <c r="AC271" s="128"/>
      <c r="AD271" s="146"/>
      <c r="AE271" s="128"/>
      <c r="AF271" s="146"/>
      <c r="AG271" s="128"/>
      <c r="AH271" s="146"/>
      <c r="AI271" s="128"/>
      <c r="AJ271" s="146"/>
      <c r="AK271" s="128"/>
      <c r="AL271" s="146"/>
      <c r="AM271" s="128"/>
      <c r="AN271" s="146"/>
    </row>
    <row r="272" spans="1:40" s="121" customFormat="1" ht="15" customHeight="1">
      <c r="A272" s="141" t="s">
        <v>1032</v>
      </c>
      <c r="B272" s="141" t="s">
        <v>643</v>
      </c>
      <c r="C272" s="259">
        <v>160436</v>
      </c>
      <c r="D272" s="143">
        <v>14</v>
      </c>
      <c r="E272" s="128">
        <v>681</v>
      </c>
      <c r="F272" s="146">
        <v>927</v>
      </c>
      <c r="G272" s="128">
        <v>1169</v>
      </c>
      <c r="H272" s="146">
        <v>1455</v>
      </c>
      <c r="I272" s="128"/>
      <c r="J272" s="146"/>
      <c r="K272" s="128"/>
      <c r="L272" s="146"/>
      <c r="M272" s="128"/>
      <c r="N272" s="146"/>
      <c r="O272" s="128"/>
      <c r="P272" s="146"/>
      <c r="Q272" s="128"/>
      <c r="R272" s="146"/>
      <c r="S272" s="128"/>
      <c r="T272" s="146"/>
      <c r="U272" s="128"/>
      <c r="V272" s="146"/>
      <c r="W272" s="128"/>
      <c r="X272" s="146"/>
      <c r="Y272" s="128"/>
      <c r="Z272" s="146"/>
      <c r="AA272" s="128"/>
      <c r="AB272" s="146"/>
      <c r="AC272" s="128"/>
      <c r="AD272" s="146"/>
      <c r="AE272" s="128"/>
      <c r="AF272" s="146"/>
      <c r="AG272" s="128"/>
      <c r="AH272" s="146"/>
      <c r="AI272" s="128"/>
      <c r="AJ272" s="146"/>
      <c r="AK272" s="128"/>
      <c r="AL272" s="146"/>
      <c r="AM272" s="128"/>
      <c r="AN272" s="146"/>
    </row>
    <row r="273" spans="1:40" s="121" customFormat="1" ht="15" customHeight="1">
      <c r="A273" s="141" t="s">
        <v>1032</v>
      </c>
      <c r="B273" s="141" t="s">
        <v>644</v>
      </c>
      <c r="C273" s="259">
        <v>160454</v>
      </c>
      <c r="D273" s="143">
        <v>14</v>
      </c>
      <c r="E273" s="128">
        <v>681</v>
      </c>
      <c r="F273" s="146">
        <v>927</v>
      </c>
      <c r="G273" s="128">
        <v>1169</v>
      </c>
      <c r="H273" s="146">
        <v>1455</v>
      </c>
      <c r="I273" s="128"/>
      <c r="J273" s="146"/>
      <c r="K273" s="128"/>
      <c r="L273" s="146"/>
      <c r="M273" s="128"/>
      <c r="N273" s="146"/>
      <c r="O273" s="128"/>
      <c r="P273" s="146"/>
      <c r="Q273" s="128"/>
      <c r="R273" s="146"/>
      <c r="S273" s="128"/>
      <c r="T273" s="146"/>
      <c r="U273" s="128"/>
      <c r="V273" s="146"/>
      <c r="W273" s="128"/>
      <c r="X273" s="146"/>
      <c r="Y273" s="128"/>
      <c r="Z273" s="146"/>
      <c r="AA273" s="128"/>
      <c r="AB273" s="146"/>
      <c r="AC273" s="128"/>
      <c r="AD273" s="146"/>
      <c r="AE273" s="128"/>
      <c r="AF273" s="146"/>
      <c r="AG273" s="128"/>
      <c r="AH273" s="146"/>
      <c r="AI273" s="128"/>
      <c r="AJ273" s="146"/>
      <c r="AK273" s="128"/>
      <c r="AL273" s="146"/>
      <c r="AM273" s="128"/>
      <c r="AN273" s="146"/>
    </row>
    <row r="274" spans="1:40" s="121" customFormat="1" ht="15" customHeight="1">
      <c r="A274" s="141" t="s">
        <v>1032</v>
      </c>
      <c r="B274" s="141" t="s">
        <v>645</v>
      </c>
      <c r="C274" s="259">
        <v>160667</v>
      </c>
      <c r="D274" s="143">
        <v>14</v>
      </c>
      <c r="E274" s="128">
        <v>681</v>
      </c>
      <c r="F274" s="146">
        <v>927</v>
      </c>
      <c r="G274" s="128">
        <v>1169</v>
      </c>
      <c r="H274" s="146">
        <v>1455</v>
      </c>
      <c r="I274" s="128"/>
      <c r="J274" s="146"/>
      <c r="K274" s="128"/>
      <c r="L274" s="146"/>
      <c r="M274" s="128"/>
      <c r="N274" s="146"/>
      <c r="O274" s="128"/>
      <c r="P274" s="146"/>
      <c r="Q274" s="128"/>
      <c r="R274" s="146"/>
      <c r="S274" s="128"/>
      <c r="T274" s="146"/>
      <c r="U274" s="128"/>
      <c r="V274" s="146"/>
      <c r="W274" s="128"/>
      <c r="X274" s="146"/>
      <c r="Y274" s="128"/>
      <c r="Z274" s="146"/>
      <c r="AA274" s="128"/>
      <c r="AB274" s="146"/>
      <c r="AC274" s="128"/>
      <c r="AD274" s="146"/>
      <c r="AE274" s="128"/>
      <c r="AF274" s="146"/>
      <c r="AG274" s="128"/>
      <c r="AH274" s="146"/>
      <c r="AI274" s="128"/>
      <c r="AJ274" s="146"/>
      <c r="AK274" s="128"/>
      <c r="AL274" s="146"/>
      <c r="AM274" s="128"/>
      <c r="AN274" s="146"/>
    </row>
    <row r="275" spans="1:40" s="121" customFormat="1" ht="15" customHeight="1">
      <c r="A275" s="141" t="s">
        <v>1032</v>
      </c>
      <c r="B275" s="141" t="s">
        <v>646</v>
      </c>
      <c r="C275" s="259">
        <v>160676</v>
      </c>
      <c r="D275" s="143">
        <v>14</v>
      </c>
      <c r="E275" s="128">
        <v>681</v>
      </c>
      <c r="F275" s="146">
        <v>927</v>
      </c>
      <c r="G275" s="128">
        <v>1169</v>
      </c>
      <c r="H275" s="146">
        <v>1455</v>
      </c>
      <c r="I275" s="128"/>
      <c r="J275" s="146"/>
      <c r="K275" s="128"/>
      <c r="L275" s="146"/>
      <c r="M275" s="128"/>
      <c r="N275" s="146"/>
      <c r="O275" s="128"/>
      <c r="P275" s="146"/>
      <c r="Q275" s="128"/>
      <c r="R275" s="146"/>
      <c r="S275" s="128"/>
      <c r="T275" s="146"/>
      <c r="U275" s="128"/>
      <c r="V275" s="146"/>
      <c r="W275" s="128"/>
      <c r="X275" s="146"/>
      <c r="Y275" s="128"/>
      <c r="Z275" s="146"/>
      <c r="AA275" s="128"/>
      <c r="AB275" s="146"/>
      <c r="AC275" s="128"/>
      <c r="AD275" s="146"/>
      <c r="AE275" s="128"/>
      <c r="AF275" s="146"/>
      <c r="AG275" s="128"/>
      <c r="AH275" s="146"/>
      <c r="AI275" s="128"/>
      <c r="AJ275" s="146"/>
      <c r="AK275" s="128"/>
      <c r="AL275" s="146"/>
      <c r="AM275" s="128"/>
      <c r="AN275" s="146"/>
    </row>
    <row r="276" spans="1:40" s="121" customFormat="1" ht="15" customHeight="1">
      <c r="A276" s="141" t="s">
        <v>1032</v>
      </c>
      <c r="B276" s="141" t="s">
        <v>647</v>
      </c>
      <c r="C276" s="259">
        <v>160685</v>
      </c>
      <c r="D276" s="143">
        <v>14</v>
      </c>
      <c r="E276" s="128">
        <v>681</v>
      </c>
      <c r="F276" s="146">
        <v>927</v>
      </c>
      <c r="G276" s="128">
        <v>1169</v>
      </c>
      <c r="H276" s="146">
        <v>1455</v>
      </c>
      <c r="I276" s="128"/>
      <c r="J276" s="146"/>
      <c r="K276" s="128"/>
      <c r="L276" s="146"/>
      <c r="M276" s="128"/>
      <c r="N276" s="146"/>
      <c r="O276" s="128"/>
      <c r="P276" s="146"/>
      <c r="Q276" s="128"/>
      <c r="R276" s="146"/>
      <c r="S276" s="128"/>
      <c r="T276" s="146"/>
      <c r="U276" s="128"/>
      <c r="V276" s="146"/>
      <c r="W276" s="128"/>
      <c r="X276" s="146"/>
      <c r="Y276" s="128"/>
      <c r="Z276" s="146"/>
      <c r="AA276" s="128"/>
      <c r="AB276" s="146"/>
      <c r="AC276" s="128"/>
      <c r="AD276" s="146"/>
      <c r="AE276" s="128"/>
      <c r="AF276" s="146"/>
      <c r="AG276" s="128"/>
      <c r="AH276" s="146"/>
      <c r="AI276" s="128"/>
      <c r="AJ276" s="146"/>
      <c r="AK276" s="128"/>
      <c r="AL276" s="146"/>
      <c r="AM276" s="128"/>
      <c r="AN276" s="146"/>
    </row>
    <row r="277" spans="1:40" s="121" customFormat="1" ht="15" customHeight="1">
      <c r="A277" s="141" t="s">
        <v>1032</v>
      </c>
      <c r="B277" s="141" t="s">
        <v>648</v>
      </c>
      <c r="C277" s="259">
        <v>160694</v>
      </c>
      <c r="D277" s="143">
        <v>14</v>
      </c>
      <c r="E277" s="128">
        <v>681</v>
      </c>
      <c r="F277" s="146">
        <v>927</v>
      </c>
      <c r="G277" s="128">
        <v>1169</v>
      </c>
      <c r="H277" s="146">
        <v>1455</v>
      </c>
      <c r="I277" s="128"/>
      <c r="J277" s="146"/>
      <c r="K277" s="128"/>
      <c r="L277" s="146"/>
      <c r="M277" s="128"/>
      <c r="N277" s="146"/>
      <c r="O277" s="128"/>
      <c r="P277" s="146"/>
      <c r="Q277" s="128"/>
      <c r="R277" s="146"/>
      <c r="S277" s="128"/>
      <c r="T277" s="146"/>
      <c r="U277" s="128"/>
      <c r="V277" s="146"/>
      <c r="W277" s="128"/>
      <c r="X277" s="146"/>
      <c r="Y277" s="128"/>
      <c r="Z277" s="146"/>
      <c r="AA277" s="128"/>
      <c r="AB277" s="146"/>
      <c r="AC277" s="128"/>
      <c r="AD277" s="146"/>
      <c r="AE277" s="128"/>
      <c r="AF277" s="146"/>
      <c r="AG277" s="128"/>
      <c r="AH277" s="146"/>
      <c r="AI277" s="128"/>
      <c r="AJ277" s="146"/>
      <c r="AK277" s="128"/>
      <c r="AL277" s="146"/>
      <c r="AM277" s="128"/>
      <c r="AN277" s="146"/>
    </row>
    <row r="278" spans="1:40" s="121" customFormat="1" ht="15" customHeight="1">
      <c r="A278" s="141" t="s">
        <v>1032</v>
      </c>
      <c r="B278" s="141" t="s">
        <v>649</v>
      </c>
      <c r="C278" s="259">
        <v>159267</v>
      </c>
      <c r="D278" s="143">
        <v>14</v>
      </c>
      <c r="E278" s="128">
        <v>681</v>
      </c>
      <c r="F278" s="146">
        <v>927</v>
      </c>
      <c r="G278" s="128">
        <v>1169</v>
      </c>
      <c r="H278" s="146">
        <v>1455</v>
      </c>
      <c r="I278" s="128"/>
      <c r="J278" s="146"/>
      <c r="K278" s="128"/>
      <c r="L278" s="146"/>
      <c r="M278" s="128"/>
      <c r="N278" s="146"/>
      <c r="O278" s="128"/>
      <c r="P278" s="146"/>
      <c r="Q278" s="128"/>
      <c r="R278" s="146"/>
      <c r="S278" s="128"/>
      <c r="T278" s="146"/>
      <c r="U278" s="128"/>
      <c r="V278" s="146"/>
      <c r="W278" s="128"/>
      <c r="X278" s="146"/>
      <c r="Y278" s="128"/>
      <c r="Z278" s="146"/>
      <c r="AA278" s="128"/>
      <c r="AB278" s="146"/>
      <c r="AC278" s="128"/>
      <c r="AD278" s="146"/>
      <c r="AE278" s="128"/>
      <c r="AF278" s="146"/>
      <c r="AG278" s="128"/>
      <c r="AH278" s="146"/>
      <c r="AI278" s="128"/>
      <c r="AJ278" s="146"/>
      <c r="AK278" s="128"/>
      <c r="AL278" s="146"/>
      <c r="AM278" s="128"/>
      <c r="AN278" s="146"/>
    </row>
    <row r="279" spans="1:40" s="121" customFormat="1" ht="15" customHeight="1">
      <c r="A279" s="141" t="s">
        <v>1032</v>
      </c>
      <c r="B279" s="141" t="s">
        <v>650</v>
      </c>
      <c r="C279" s="259">
        <v>160870</v>
      </c>
      <c r="D279" s="143">
        <v>14</v>
      </c>
      <c r="E279" s="128">
        <v>681</v>
      </c>
      <c r="F279" s="146">
        <v>927</v>
      </c>
      <c r="G279" s="128">
        <v>1169</v>
      </c>
      <c r="H279" s="146">
        <v>1455</v>
      </c>
      <c r="I279" s="128"/>
      <c r="J279" s="146"/>
      <c r="K279" s="128"/>
      <c r="L279" s="146"/>
      <c r="M279" s="128"/>
      <c r="N279" s="146"/>
      <c r="O279" s="128"/>
      <c r="P279" s="146"/>
      <c r="Q279" s="128"/>
      <c r="R279" s="146"/>
      <c r="S279" s="128"/>
      <c r="T279" s="146"/>
      <c r="U279" s="128"/>
      <c r="V279" s="146"/>
      <c r="W279" s="128"/>
      <c r="X279" s="146"/>
      <c r="Y279" s="128"/>
      <c r="Z279" s="146"/>
      <c r="AA279" s="128"/>
      <c r="AB279" s="146"/>
      <c r="AC279" s="128"/>
      <c r="AD279" s="146"/>
      <c r="AE279" s="128"/>
      <c r="AF279" s="146"/>
      <c r="AG279" s="128"/>
      <c r="AH279" s="146"/>
      <c r="AI279" s="128"/>
      <c r="AJ279" s="146"/>
      <c r="AK279" s="128"/>
      <c r="AL279" s="146"/>
      <c r="AM279" s="128"/>
      <c r="AN279" s="146"/>
    </row>
    <row r="280" spans="1:40" s="121" customFormat="1" ht="15" customHeight="1">
      <c r="A280" s="141" t="s">
        <v>1032</v>
      </c>
      <c r="B280" s="141" t="s">
        <v>651</v>
      </c>
      <c r="C280" s="259">
        <v>160913</v>
      </c>
      <c r="D280" s="143">
        <v>14</v>
      </c>
      <c r="E280" s="128">
        <v>681</v>
      </c>
      <c r="F280" s="146">
        <v>927</v>
      </c>
      <c r="G280" s="128">
        <v>1169</v>
      </c>
      <c r="H280" s="146">
        <v>1455</v>
      </c>
      <c r="I280" s="128"/>
      <c r="J280" s="146"/>
      <c r="K280" s="128"/>
      <c r="L280" s="146"/>
      <c r="M280" s="128"/>
      <c r="N280" s="146"/>
      <c r="O280" s="128"/>
      <c r="P280" s="146"/>
      <c r="Q280" s="128"/>
      <c r="R280" s="146"/>
      <c r="S280" s="128"/>
      <c r="T280" s="146"/>
      <c r="U280" s="128"/>
      <c r="V280" s="146"/>
      <c r="W280" s="128"/>
      <c r="X280" s="146"/>
      <c r="Y280" s="128"/>
      <c r="Z280" s="146"/>
      <c r="AA280" s="128"/>
      <c r="AB280" s="146"/>
      <c r="AC280" s="128"/>
      <c r="AD280" s="146"/>
      <c r="AE280" s="128"/>
      <c r="AF280" s="146"/>
      <c r="AG280" s="128"/>
      <c r="AH280" s="146"/>
      <c r="AI280" s="128"/>
      <c r="AJ280" s="146"/>
      <c r="AK280" s="128"/>
      <c r="AL280" s="146"/>
      <c r="AM280" s="128"/>
      <c r="AN280" s="146"/>
    </row>
    <row r="281" spans="1:40" s="121" customFormat="1" ht="15" customHeight="1">
      <c r="A281" s="141" t="s">
        <v>1032</v>
      </c>
      <c r="B281" s="141" t="s">
        <v>652</v>
      </c>
      <c r="C281" s="142">
        <v>159373</v>
      </c>
      <c r="D281" s="143">
        <v>15</v>
      </c>
      <c r="E281" s="128"/>
      <c r="F281" s="146"/>
      <c r="G281" s="128"/>
      <c r="H281" s="146"/>
      <c r="I281" s="128"/>
      <c r="J281" s="146"/>
      <c r="K281" s="128"/>
      <c r="L281" s="146"/>
      <c r="M281" s="128"/>
      <c r="N281" s="146"/>
      <c r="O281" s="128"/>
      <c r="P281" s="146"/>
      <c r="Q281" s="128">
        <v>10853</v>
      </c>
      <c r="R281" s="146">
        <v>11613</v>
      </c>
      <c r="S281" s="128">
        <v>25001</v>
      </c>
      <c r="T281" s="146">
        <v>25761</v>
      </c>
      <c r="U281" s="128">
        <v>9247</v>
      </c>
      <c r="V281" s="146">
        <v>9894</v>
      </c>
      <c r="W281" s="128">
        <v>21621</v>
      </c>
      <c r="X281" s="146">
        <v>22268</v>
      </c>
      <c r="Y281" s="128"/>
      <c r="Z281" s="146"/>
      <c r="AA281" s="128"/>
      <c r="AB281" s="146"/>
      <c r="AC281" s="128"/>
      <c r="AD281" s="146"/>
      <c r="AE281" s="128"/>
      <c r="AF281" s="146"/>
      <c r="AG281" s="128"/>
      <c r="AH281" s="146"/>
      <c r="AI281" s="128"/>
      <c r="AJ281" s="146"/>
      <c r="AK281" s="128"/>
      <c r="AL281" s="146"/>
      <c r="AM281" s="128"/>
      <c r="AN281" s="146"/>
    </row>
    <row r="282" spans="1:40" s="121" customFormat="1" ht="15" customHeight="1">
      <c r="A282" s="138" t="s">
        <v>959</v>
      </c>
      <c r="B282" s="138" t="s">
        <v>145</v>
      </c>
      <c r="C282" s="139">
        <v>163286</v>
      </c>
      <c r="D282" s="140">
        <v>1</v>
      </c>
      <c r="E282" s="128">
        <v>6759</v>
      </c>
      <c r="F282" s="146">
        <v>7410</v>
      </c>
      <c r="G282" s="128">
        <v>17433</v>
      </c>
      <c r="H282" s="146">
        <v>18710</v>
      </c>
      <c r="I282" s="128">
        <f>349*24</f>
        <v>8376</v>
      </c>
      <c r="J282" s="366">
        <v>9781</v>
      </c>
      <c r="K282" s="128">
        <f>602*24</f>
        <v>14448</v>
      </c>
      <c r="L282" s="366">
        <v>17701</v>
      </c>
      <c r="M282" s="128"/>
      <c r="N282" s="146"/>
      <c r="O282" s="128"/>
      <c r="P282" s="146"/>
      <c r="Q282" s="128"/>
      <c r="R282" s="146"/>
      <c r="S282" s="128"/>
      <c r="T282" s="146"/>
      <c r="U282" s="128"/>
      <c r="V282" s="146"/>
      <c r="W282" s="128"/>
      <c r="X282" s="146"/>
      <c r="Y282" s="128"/>
      <c r="Z282" s="146"/>
      <c r="AA282" s="128"/>
      <c r="AB282" s="146"/>
      <c r="AC282" s="128"/>
      <c r="AD282" s="146"/>
      <c r="AE282" s="128"/>
      <c r="AF282" s="146"/>
      <c r="AG282" s="128"/>
      <c r="AH282" s="146"/>
      <c r="AI282" s="128"/>
      <c r="AJ282" s="146"/>
      <c r="AK282" s="128"/>
      <c r="AL282" s="146"/>
      <c r="AM282" s="128"/>
      <c r="AN282" s="146"/>
    </row>
    <row r="283" spans="1:40" s="121" customFormat="1" ht="15" customHeight="1">
      <c r="A283" s="138" t="s">
        <v>959</v>
      </c>
      <c r="B283" s="138" t="s">
        <v>146</v>
      </c>
      <c r="C283" s="139">
        <v>163268</v>
      </c>
      <c r="D283" s="140">
        <v>2</v>
      </c>
      <c r="E283" s="128">
        <v>7388</v>
      </c>
      <c r="F283" s="146">
        <v>8020</v>
      </c>
      <c r="G283" s="128">
        <v>14290</v>
      </c>
      <c r="H283" s="146">
        <v>15620</v>
      </c>
      <c r="I283" s="128">
        <f>422*24</f>
        <v>10128</v>
      </c>
      <c r="J283" s="146">
        <f>450*24</f>
        <v>10800</v>
      </c>
      <c r="K283" s="128">
        <f>642*24</f>
        <v>15408</v>
      </c>
      <c r="L283" s="366">
        <v>16392</v>
      </c>
      <c r="M283" s="128"/>
      <c r="N283" s="146"/>
      <c r="O283" s="128"/>
      <c r="P283" s="146"/>
      <c r="Q283" s="128"/>
      <c r="R283" s="146"/>
      <c r="S283" s="128"/>
      <c r="T283" s="146"/>
      <c r="U283" s="128"/>
      <c r="V283" s="146"/>
      <c r="W283" s="128"/>
      <c r="X283" s="146"/>
      <c r="Y283" s="128"/>
      <c r="Z283" s="146"/>
      <c r="AA283" s="128"/>
      <c r="AB283" s="146"/>
      <c r="AC283" s="128"/>
      <c r="AD283" s="146"/>
      <c r="AE283" s="128"/>
      <c r="AF283" s="146"/>
      <c r="AG283" s="128"/>
      <c r="AH283" s="146"/>
      <c r="AI283" s="128"/>
      <c r="AJ283" s="146"/>
      <c r="AK283" s="128"/>
      <c r="AL283" s="146"/>
      <c r="AM283" s="128"/>
      <c r="AN283" s="146"/>
    </row>
    <row r="284" spans="1:40" s="121" customFormat="1" ht="15" customHeight="1">
      <c r="A284" s="138" t="s">
        <v>959</v>
      </c>
      <c r="B284" s="138" t="s">
        <v>147</v>
      </c>
      <c r="C284" s="139">
        <v>164076</v>
      </c>
      <c r="D284" s="140">
        <v>3</v>
      </c>
      <c r="E284" s="128">
        <v>6226</v>
      </c>
      <c r="F284" s="146">
        <v>6672</v>
      </c>
      <c r="G284" s="128">
        <v>14298</v>
      </c>
      <c r="H284" s="146">
        <v>15352</v>
      </c>
      <c r="I284" s="128">
        <v>7464</v>
      </c>
      <c r="J284" s="146">
        <f>327*24</f>
        <v>7848</v>
      </c>
      <c r="K284" s="128">
        <v>13848</v>
      </c>
      <c r="L284" s="146">
        <v>14592</v>
      </c>
      <c r="M284" s="128"/>
      <c r="N284" s="146"/>
      <c r="O284" s="128"/>
      <c r="P284" s="146"/>
      <c r="Q284" s="128"/>
      <c r="R284" s="146"/>
      <c r="S284" s="128"/>
      <c r="T284" s="146"/>
      <c r="U284" s="128"/>
      <c r="V284" s="146"/>
      <c r="W284" s="128"/>
      <c r="X284" s="146"/>
      <c r="Y284" s="128"/>
      <c r="Z284" s="146"/>
      <c r="AA284" s="128"/>
      <c r="AB284" s="146"/>
      <c r="AC284" s="128"/>
      <c r="AD284" s="146"/>
      <c r="AE284" s="128"/>
      <c r="AF284" s="146"/>
      <c r="AG284" s="128"/>
      <c r="AH284" s="146"/>
      <c r="AI284" s="128"/>
      <c r="AJ284" s="146"/>
      <c r="AK284" s="128"/>
      <c r="AL284" s="146"/>
      <c r="AM284" s="128"/>
      <c r="AN284" s="146"/>
    </row>
    <row r="285" spans="1:40" s="121" customFormat="1" ht="15" customHeight="1">
      <c r="A285" s="138" t="s">
        <v>959</v>
      </c>
      <c r="B285" s="138" t="s">
        <v>148</v>
      </c>
      <c r="C285" s="139">
        <v>162007</v>
      </c>
      <c r="D285" s="140">
        <v>4</v>
      </c>
      <c r="E285" s="128">
        <v>4853</v>
      </c>
      <c r="F285" s="146">
        <v>5218</v>
      </c>
      <c r="G285" s="128">
        <v>12465</v>
      </c>
      <c r="H285" s="146">
        <v>13583</v>
      </c>
      <c r="I285" s="128">
        <v>5856</v>
      </c>
      <c r="J285" s="366">
        <v>8400</v>
      </c>
      <c r="K285" s="128">
        <v>11712</v>
      </c>
      <c r="L285" s="146">
        <f>536*24</f>
        <v>12864</v>
      </c>
      <c r="M285" s="128"/>
      <c r="N285" s="146"/>
      <c r="O285" s="128"/>
      <c r="P285" s="146"/>
      <c r="Q285" s="128"/>
      <c r="R285" s="146"/>
      <c r="S285" s="128"/>
      <c r="T285" s="146"/>
      <c r="U285" s="128"/>
      <c r="V285" s="146"/>
      <c r="W285" s="128"/>
      <c r="X285" s="146"/>
      <c r="Y285" s="128"/>
      <c r="Z285" s="146"/>
      <c r="AA285" s="128"/>
      <c r="AB285" s="146"/>
      <c r="AC285" s="128"/>
      <c r="AD285" s="146"/>
      <c r="AE285" s="128"/>
      <c r="AF285" s="146"/>
      <c r="AG285" s="128"/>
      <c r="AH285" s="146"/>
      <c r="AI285" s="128"/>
      <c r="AJ285" s="146"/>
      <c r="AK285" s="128"/>
      <c r="AL285" s="146"/>
      <c r="AM285" s="128"/>
      <c r="AN285" s="146"/>
    </row>
    <row r="286" spans="1:40" s="121" customFormat="1" ht="15" customHeight="1">
      <c r="A286" s="138" t="s">
        <v>959</v>
      </c>
      <c r="B286" s="138" t="s">
        <v>149</v>
      </c>
      <c r="C286" s="139">
        <v>162584</v>
      </c>
      <c r="D286" s="140">
        <v>4</v>
      </c>
      <c r="E286" s="128">
        <v>5342</v>
      </c>
      <c r="F286" s="146">
        <v>5830</v>
      </c>
      <c r="G286" s="128">
        <v>12242</v>
      </c>
      <c r="H286" s="146">
        <v>13374</v>
      </c>
      <c r="I286" s="128">
        <f>234*24</f>
        <v>5616</v>
      </c>
      <c r="J286" s="146">
        <f>256*24</f>
        <v>6144</v>
      </c>
      <c r="K286" s="128">
        <f>271*24</f>
        <v>6504</v>
      </c>
      <c r="L286" s="146">
        <f>296*24</f>
        <v>7104</v>
      </c>
      <c r="M286" s="128"/>
      <c r="N286" s="146"/>
      <c r="O286" s="128"/>
      <c r="P286" s="146"/>
      <c r="Q286" s="128"/>
      <c r="R286" s="146"/>
      <c r="S286" s="128"/>
      <c r="T286" s="146"/>
      <c r="U286" s="128"/>
      <c r="V286" s="146"/>
      <c r="W286" s="128"/>
      <c r="X286" s="146"/>
      <c r="Y286" s="128"/>
      <c r="Z286" s="146"/>
      <c r="AA286" s="128"/>
      <c r="AB286" s="146"/>
      <c r="AC286" s="128"/>
      <c r="AD286" s="146"/>
      <c r="AE286" s="128"/>
      <c r="AF286" s="146"/>
      <c r="AG286" s="128"/>
      <c r="AH286" s="146"/>
      <c r="AI286" s="128"/>
      <c r="AJ286" s="146"/>
      <c r="AK286" s="128"/>
      <c r="AL286" s="146"/>
      <c r="AM286" s="128"/>
      <c r="AN286" s="146"/>
    </row>
    <row r="287" spans="1:40" s="121" customFormat="1" ht="15" customHeight="1">
      <c r="A287" s="138" t="s">
        <v>959</v>
      </c>
      <c r="B287" s="138" t="s">
        <v>150</v>
      </c>
      <c r="C287" s="139">
        <v>163453</v>
      </c>
      <c r="D287" s="140">
        <v>4</v>
      </c>
      <c r="E287" s="128">
        <v>5072</v>
      </c>
      <c r="F287" s="146">
        <v>5718</v>
      </c>
      <c r="G287" s="128">
        <v>12076</v>
      </c>
      <c r="H287" s="146">
        <v>12958</v>
      </c>
      <c r="I287" s="128">
        <v>6312</v>
      </c>
      <c r="J287" s="146">
        <v>7128</v>
      </c>
      <c r="K287" s="128">
        <v>10968</v>
      </c>
      <c r="L287" s="146">
        <v>11760</v>
      </c>
      <c r="M287" s="128"/>
      <c r="N287" s="146"/>
      <c r="O287" s="128"/>
      <c r="P287" s="146"/>
      <c r="Q287" s="128"/>
      <c r="R287" s="146"/>
      <c r="S287" s="128"/>
      <c r="T287" s="146"/>
      <c r="U287" s="128"/>
      <c r="V287" s="146"/>
      <c r="W287" s="128"/>
      <c r="X287" s="146"/>
      <c r="Y287" s="128"/>
      <c r="Z287" s="146"/>
      <c r="AA287" s="128"/>
      <c r="AB287" s="146"/>
      <c r="AC287" s="128"/>
      <c r="AD287" s="146"/>
      <c r="AE287" s="128"/>
      <c r="AF287" s="146"/>
      <c r="AG287" s="128"/>
      <c r="AH287" s="146"/>
      <c r="AI287" s="128"/>
      <c r="AJ287" s="146"/>
      <c r="AK287" s="128"/>
      <c r="AL287" s="146"/>
      <c r="AM287" s="128"/>
      <c r="AN287" s="146"/>
    </row>
    <row r="288" spans="1:40" s="121" customFormat="1" ht="15" customHeight="1">
      <c r="A288" s="138" t="s">
        <v>959</v>
      </c>
      <c r="B288" s="138" t="s">
        <v>151</v>
      </c>
      <c r="C288" s="139">
        <v>163851</v>
      </c>
      <c r="D288" s="140">
        <v>4</v>
      </c>
      <c r="E288" s="128">
        <v>5564</v>
      </c>
      <c r="F288" s="146">
        <v>5976</v>
      </c>
      <c r="G288" s="128">
        <v>12452</v>
      </c>
      <c r="H288" s="146">
        <v>13554</v>
      </c>
      <c r="I288" s="128">
        <f>215*24</f>
        <v>5160</v>
      </c>
      <c r="J288" s="146">
        <f>236*24</f>
        <v>5664</v>
      </c>
      <c r="K288" s="128">
        <f>455*24</f>
        <v>10920</v>
      </c>
      <c r="L288" s="146">
        <f>500*24</f>
        <v>12000</v>
      </c>
      <c r="M288" s="128"/>
      <c r="N288" s="146"/>
      <c r="O288" s="128"/>
      <c r="P288" s="146"/>
      <c r="Q288" s="128"/>
      <c r="R288" s="146"/>
      <c r="S288" s="128"/>
      <c r="T288" s="146"/>
      <c r="U288" s="128"/>
      <c r="V288" s="146"/>
      <c r="W288" s="128"/>
      <c r="X288" s="146"/>
      <c r="Y288" s="128"/>
      <c r="Z288" s="146"/>
      <c r="AA288" s="128"/>
      <c r="AB288" s="146"/>
      <c r="AC288" s="128"/>
      <c r="AD288" s="146"/>
      <c r="AE288" s="128"/>
      <c r="AF288" s="146"/>
      <c r="AG288" s="128"/>
      <c r="AH288" s="146"/>
      <c r="AI288" s="128"/>
      <c r="AJ288" s="146"/>
      <c r="AK288" s="128"/>
      <c r="AL288" s="146"/>
      <c r="AM288" s="128"/>
      <c r="AN288" s="146"/>
    </row>
    <row r="289" spans="1:40" s="121" customFormat="1" ht="15" customHeight="1">
      <c r="A289" s="138" t="s">
        <v>959</v>
      </c>
      <c r="B289" s="138" t="s">
        <v>152</v>
      </c>
      <c r="C289" s="139">
        <v>161873</v>
      </c>
      <c r="D289" s="140">
        <v>4</v>
      </c>
      <c r="E289" s="128">
        <v>5913</v>
      </c>
      <c r="F289" s="146">
        <v>6448</v>
      </c>
      <c r="G289" s="128">
        <v>16319</v>
      </c>
      <c r="H289" s="146">
        <v>17791</v>
      </c>
      <c r="I289" s="128">
        <f>374*24</f>
        <v>8976</v>
      </c>
      <c r="J289" s="146">
        <f>415*24</f>
        <v>9960</v>
      </c>
      <c r="K289" s="128">
        <f>569*24</f>
        <v>13656</v>
      </c>
      <c r="L289" s="146">
        <f>632*24</f>
        <v>15168</v>
      </c>
      <c r="M289" s="128">
        <v>14230</v>
      </c>
      <c r="N289" s="146">
        <v>15770</v>
      </c>
      <c r="O289" s="128">
        <v>24358</v>
      </c>
      <c r="P289" s="146">
        <v>27012</v>
      </c>
      <c r="Q289" s="128"/>
      <c r="R289" s="146"/>
      <c r="S289" s="128"/>
      <c r="T289" s="146"/>
      <c r="U289" s="128"/>
      <c r="V289" s="146"/>
      <c r="W289" s="128"/>
      <c r="X289" s="146"/>
      <c r="Y289" s="128"/>
      <c r="Z289" s="146"/>
      <c r="AA289" s="128"/>
      <c r="AB289" s="146"/>
      <c r="AC289" s="128"/>
      <c r="AD289" s="146"/>
      <c r="AE289" s="128"/>
      <c r="AF289" s="146"/>
      <c r="AG289" s="128"/>
      <c r="AH289" s="146"/>
      <c r="AI289" s="128"/>
      <c r="AJ289" s="146"/>
      <c r="AK289" s="128"/>
      <c r="AL289" s="146"/>
      <c r="AM289" s="128"/>
      <c r="AN289" s="146"/>
    </row>
    <row r="290" spans="1:40" s="121" customFormat="1" ht="15" customHeight="1">
      <c r="A290" s="138" t="s">
        <v>959</v>
      </c>
      <c r="B290" s="138" t="s">
        <v>153</v>
      </c>
      <c r="C290" s="139">
        <v>163338</v>
      </c>
      <c r="D290" s="140">
        <v>4</v>
      </c>
      <c r="E290" s="128">
        <v>5105</v>
      </c>
      <c r="F290" s="146">
        <v>5558</v>
      </c>
      <c r="G290" s="128">
        <v>10440</v>
      </c>
      <c r="H290" s="146">
        <v>11421</v>
      </c>
      <c r="I290" s="128">
        <v>4488</v>
      </c>
      <c r="J290" s="146">
        <v>4944</v>
      </c>
      <c r="K290" s="128">
        <v>8136</v>
      </c>
      <c r="L290" s="146">
        <v>8952</v>
      </c>
      <c r="M290" s="128"/>
      <c r="N290" s="146"/>
      <c r="O290" s="128"/>
      <c r="P290" s="146"/>
      <c r="Q290" s="128"/>
      <c r="R290" s="146"/>
      <c r="S290" s="128"/>
      <c r="T290" s="146"/>
      <c r="U290" s="128"/>
      <c r="V290" s="146"/>
      <c r="W290" s="128"/>
      <c r="X290" s="146"/>
      <c r="Y290" s="128"/>
      <c r="Z290" s="146"/>
      <c r="AA290" s="128"/>
      <c r="AB290" s="146"/>
      <c r="AC290" s="128"/>
      <c r="AD290" s="146"/>
      <c r="AE290" s="128"/>
      <c r="AF290" s="146"/>
      <c r="AG290" s="128"/>
      <c r="AH290" s="146"/>
      <c r="AI290" s="128"/>
      <c r="AJ290" s="146"/>
      <c r="AK290" s="128"/>
      <c r="AL290" s="146"/>
      <c r="AM290" s="128"/>
      <c r="AN290" s="146"/>
    </row>
    <row r="291" spans="1:40" s="121" customFormat="1" ht="15" customHeight="1">
      <c r="A291" s="138" t="s">
        <v>959</v>
      </c>
      <c r="B291" s="138" t="s">
        <v>917</v>
      </c>
      <c r="C291" s="139">
        <v>162283</v>
      </c>
      <c r="D291" s="140">
        <v>5</v>
      </c>
      <c r="E291" s="128">
        <v>4240</v>
      </c>
      <c r="F291" s="146">
        <v>4454</v>
      </c>
      <c r="G291" s="128">
        <v>10062</v>
      </c>
      <c r="H291" s="146">
        <v>10626</v>
      </c>
      <c r="I291" s="128">
        <f>175*24</f>
        <v>4200</v>
      </c>
      <c r="J291" s="146">
        <f>186*24</f>
        <v>4464</v>
      </c>
      <c r="K291" s="128">
        <f>318*24</f>
        <v>7632</v>
      </c>
      <c r="L291" s="146">
        <f>337*24</f>
        <v>8088</v>
      </c>
      <c r="M291" s="128"/>
      <c r="N291" s="146"/>
      <c r="O291" s="128"/>
      <c r="P291" s="146"/>
      <c r="Q291" s="128"/>
      <c r="R291" s="146"/>
      <c r="S291" s="128"/>
      <c r="T291" s="146"/>
      <c r="U291" s="128"/>
      <c r="V291" s="146"/>
      <c r="W291" s="128"/>
      <c r="X291" s="146"/>
      <c r="Y291" s="128"/>
      <c r="Z291" s="146"/>
      <c r="AA291" s="128"/>
      <c r="AB291" s="146"/>
      <c r="AC291" s="128"/>
      <c r="AD291" s="146"/>
      <c r="AE291" s="128"/>
      <c r="AF291" s="146"/>
      <c r="AG291" s="128"/>
      <c r="AH291" s="146"/>
      <c r="AI291" s="128"/>
      <c r="AJ291" s="146"/>
      <c r="AK291" s="128"/>
      <c r="AL291" s="146"/>
      <c r="AM291" s="128"/>
      <c r="AN291" s="146"/>
    </row>
    <row r="292" spans="1:40" s="121" customFormat="1" ht="15" customHeight="1">
      <c r="A292" s="138" t="s">
        <v>959</v>
      </c>
      <c r="B292" s="138" t="s">
        <v>154</v>
      </c>
      <c r="C292" s="139">
        <v>163912</v>
      </c>
      <c r="D292" s="140">
        <v>6</v>
      </c>
      <c r="E292" s="128">
        <v>8740</v>
      </c>
      <c r="F292" s="146">
        <v>9617</v>
      </c>
      <c r="G292" s="128">
        <v>15060</v>
      </c>
      <c r="H292" s="146">
        <v>17097</v>
      </c>
      <c r="I292" s="128"/>
      <c r="J292" s="146"/>
      <c r="K292" s="128"/>
      <c r="L292" s="146"/>
      <c r="M292" s="128"/>
      <c r="N292" s="146"/>
      <c r="O292" s="128"/>
      <c r="P292" s="146"/>
      <c r="Q292" s="128"/>
      <c r="R292" s="146"/>
      <c r="S292" s="128"/>
      <c r="T292" s="146"/>
      <c r="U292" s="128"/>
      <c r="V292" s="146"/>
      <c r="W292" s="128"/>
      <c r="X292" s="146"/>
      <c r="Y292" s="128"/>
      <c r="Z292" s="146"/>
      <c r="AA292" s="128"/>
      <c r="AB292" s="146"/>
      <c r="AC292" s="128"/>
      <c r="AD292" s="146"/>
      <c r="AE292" s="128"/>
      <c r="AF292" s="146"/>
      <c r="AG292" s="128"/>
      <c r="AH292" s="146"/>
      <c r="AI292" s="128"/>
      <c r="AJ292" s="146"/>
      <c r="AK292" s="128"/>
      <c r="AL292" s="146"/>
      <c r="AM292" s="128"/>
      <c r="AN292" s="146"/>
    </row>
    <row r="293" spans="1:40" s="121" customFormat="1" ht="15" customHeight="1">
      <c r="A293" s="138" t="s">
        <v>959</v>
      </c>
      <c r="B293" s="138" t="s">
        <v>155</v>
      </c>
      <c r="C293" s="139">
        <v>161767</v>
      </c>
      <c r="D293" s="140">
        <v>8</v>
      </c>
      <c r="E293" s="128">
        <v>2070</v>
      </c>
      <c r="F293" s="146">
        <v>2660</v>
      </c>
      <c r="G293" s="128">
        <v>6210</v>
      </c>
      <c r="H293" s="146">
        <v>8630</v>
      </c>
      <c r="I293" s="128"/>
      <c r="J293" s="146"/>
      <c r="K293" s="128"/>
      <c r="L293" s="146"/>
      <c r="M293" s="128"/>
      <c r="N293" s="146"/>
      <c r="O293" s="128"/>
      <c r="P293" s="146"/>
      <c r="Q293" s="128"/>
      <c r="R293" s="146"/>
      <c r="S293" s="128"/>
      <c r="T293" s="146"/>
      <c r="U293" s="128"/>
      <c r="V293" s="146"/>
      <c r="W293" s="128"/>
      <c r="X293" s="146"/>
      <c r="Y293" s="128"/>
      <c r="Z293" s="146"/>
      <c r="AA293" s="128"/>
      <c r="AB293" s="146"/>
      <c r="AC293" s="128"/>
      <c r="AD293" s="146"/>
      <c r="AE293" s="128"/>
      <c r="AF293" s="146"/>
      <c r="AG293" s="128"/>
      <c r="AH293" s="146"/>
      <c r="AI293" s="128"/>
      <c r="AJ293" s="146"/>
      <c r="AK293" s="128"/>
      <c r="AL293" s="146"/>
      <c r="AM293" s="128"/>
      <c r="AN293" s="146"/>
    </row>
    <row r="294" spans="1:40" s="121" customFormat="1" ht="15" customHeight="1">
      <c r="A294" s="138" t="s">
        <v>959</v>
      </c>
      <c r="B294" s="138" t="s">
        <v>674</v>
      </c>
      <c r="C294" s="139"/>
      <c r="D294" s="140">
        <v>8</v>
      </c>
      <c r="E294" s="128">
        <v>2648</v>
      </c>
      <c r="F294" s="146">
        <v>2926</v>
      </c>
      <c r="G294" s="128">
        <v>5738</v>
      </c>
      <c r="H294" s="366">
        <v>6466</v>
      </c>
      <c r="I294" s="128"/>
      <c r="J294" s="146"/>
      <c r="K294" s="128"/>
      <c r="L294" s="146"/>
      <c r="M294" s="128"/>
      <c r="N294" s="146"/>
      <c r="O294" s="128"/>
      <c r="P294" s="146"/>
      <c r="Q294" s="128"/>
      <c r="R294" s="146"/>
      <c r="S294" s="128"/>
      <c r="T294" s="146"/>
      <c r="U294" s="128"/>
      <c r="V294" s="146"/>
      <c r="W294" s="128"/>
      <c r="X294" s="146"/>
      <c r="Y294" s="128"/>
      <c r="Z294" s="146"/>
      <c r="AA294" s="128"/>
      <c r="AB294" s="146"/>
      <c r="AC294" s="128"/>
      <c r="AD294" s="146"/>
      <c r="AE294" s="128"/>
      <c r="AF294" s="146"/>
      <c r="AG294" s="128"/>
      <c r="AH294" s="146"/>
      <c r="AI294" s="128"/>
      <c r="AJ294" s="146"/>
      <c r="AK294" s="128"/>
      <c r="AL294" s="146"/>
      <c r="AM294" s="128"/>
      <c r="AN294" s="146"/>
    </row>
    <row r="295" spans="1:40" s="121" customFormat="1" ht="15" customHeight="1">
      <c r="A295" s="138" t="s">
        <v>959</v>
      </c>
      <c r="B295" s="138" t="s">
        <v>675</v>
      </c>
      <c r="C295" s="139">
        <v>163426</v>
      </c>
      <c r="D295" s="140">
        <v>8</v>
      </c>
      <c r="E295" s="128">
        <v>3264</v>
      </c>
      <c r="F295" s="146">
        <v>3564</v>
      </c>
      <c r="G295" s="128">
        <v>8580</v>
      </c>
      <c r="H295" s="146">
        <v>9180</v>
      </c>
      <c r="I295" s="128"/>
      <c r="J295" s="146"/>
      <c r="K295" s="128"/>
      <c r="L295" s="146"/>
      <c r="M295" s="128"/>
      <c r="N295" s="146"/>
      <c r="O295" s="128"/>
      <c r="P295" s="146"/>
      <c r="Q295" s="128"/>
      <c r="R295" s="146"/>
      <c r="S295" s="128"/>
      <c r="T295" s="146"/>
      <c r="U295" s="128"/>
      <c r="V295" s="146"/>
      <c r="W295" s="128"/>
      <c r="X295" s="146"/>
      <c r="Y295" s="128"/>
      <c r="Z295" s="146"/>
      <c r="AA295" s="128"/>
      <c r="AB295" s="146"/>
      <c r="AC295" s="128"/>
      <c r="AD295" s="146"/>
      <c r="AE295" s="128"/>
      <c r="AF295" s="146"/>
      <c r="AG295" s="128"/>
      <c r="AH295" s="146"/>
      <c r="AI295" s="128"/>
      <c r="AJ295" s="146"/>
      <c r="AK295" s="128"/>
      <c r="AL295" s="146"/>
      <c r="AM295" s="128"/>
      <c r="AN295" s="146"/>
    </row>
    <row r="296" spans="1:40" s="121" customFormat="1" ht="15" customHeight="1">
      <c r="A296" s="138" t="s">
        <v>959</v>
      </c>
      <c r="B296" s="138" t="s">
        <v>676</v>
      </c>
      <c r="C296" s="139">
        <v>163657</v>
      </c>
      <c r="D296" s="140">
        <v>8</v>
      </c>
      <c r="E296" s="128">
        <v>3300</v>
      </c>
      <c r="F296" s="146">
        <v>3590</v>
      </c>
      <c r="G296" s="128">
        <v>7470</v>
      </c>
      <c r="H296" s="146">
        <v>8240</v>
      </c>
      <c r="I296" s="128"/>
      <c r="J296" s="146"/>
      <c r="K296" s="128"/>
      <c r="L296" s="146"/>
      <c r="M296" s="128"/>
      <c r="N296" s="146"/>
      <c r="O296" s="128"/>
      <c r="P296" s="146"/>
      <c r="Q296" s="128"/>
      <c r="R296" s="146"/>
      <c r="S296" s="128"/>
      <c r="T296" s="146"/>
      <c r="U296" s="128"/>
      <c r="V296" s="146"/>
      <c r="W296" s="128"/>
      <c r="X296" s="146"/>
      <c r="Y296" s="128"/>
      <c r="Z296" s="146"/>
      <c r="AA296" s="128"/>
      <c r="AB296" s="146"/>
      <c r="AC296" s="128"/>
      <c r="AD296" s="146"/>
      <c r="AE296" s="128"/>
      <c r="AF296" s="146"/>
      <c r="AG296" s="128"/>
      <c r="AH296" s="146"/>
      <c r="AI296" s="128"/>
      <c r="AJ296" s="146"/>
      <c r="AK296" s="128"/>
      <c r="AL296" s="146"/>
      <c r="AM296" s="128"/>
      <c r="AN296" s="146"/>
    </row>
    <row r="297" spans="1:40" s="121" customFormat="1" ht="15" customHeight="1">
      <c r="A297" s="138" t="s">
        <v>959</v>
      </c>
      <c r="B297" s="138" t="s">
        <v>677</v>
      </c>
      <c r="C297" s="139">
        <v>161864</v>
      </c>
      <c r="D297" s="140">
        <v>9</v>
      </c>
      <c r="E297" s="128">
        <v>2070</v>
      </c>
      <c r="F297" s="146">
        <v>2260</v>
      </c>
      <c r="G297" s="128">
        <v>4710</v>
      </c>
      <c r="H297" s="146">
        <v>4960</v>
      </c>
      <c r="I297" s="128"/>
      <c r="J297" s="146"/>
      <c r="K297" s="128"/>
      <c r="L297" s="146"/>
      <c r="M297" s="128"/>
      <c r="N297" s="146"/>
      <c r="O297" s="128"/>
      <c r="P297" s="146"/>
      <c r="Q297" s="128"/>
      <c r="R297" s="146"/>
      <c r="S297" s="128"/>
      <c r="T297" s="146"/>
      <c r="U297" s="128"/>
      <c r="V297" s="146"/>
      <c r="W297" s="128"/>
      <c r="X297" s="146"/>
      <c r="Y297" s="128"/>
      <c r="Z297" s="146"/>
      <c r="AA297" s="128"/>
      <c r="AB297" s="146"/>
      <c r="AC297" s="128"/>
      <c r="AD297" s="146"/>
      <c r="AE297" s="128"/>
      <c r="AF297" s="146"/>
      <c r="AG297" s="128"/>
      <c r="AH297" s="146"/>
      <c r="AI297" s="128"/>
      <c r="AJ297" s="146"/>
      <c r="AK297" s="128"/>
      <c r="AL297" s="146"/>
      <c r="AM297" s="128"/>
      <c r="AN297" s="146"/>
    </row>
    <row r="298" spans="1:40" s="121" customFormat="1" ht="15" customHeight="1">
      <c r="A298" s="138" t="s">
        <v>959</v>
      </c>
      <c r="B298" s="138" t="s">
        <v>678</v>
      </c>
      <c r="C298" s="139">
        <v>162122</v>
      </c>
      <c r="D298" s="140">
        <v>9</v>
      </c>
      <c r="E298" s="128">
        <v>2916</v>
      </c>
      <c r="F298" s="366">
        <v>3210</v>
      </c>
      <c r="G298" s="128">
        <v>7200</v>
      </c>
      <c r="H298" s="366">
        <v>6930</v>
      </c>
      <c r="I298" s="128"/>
      <c r="J298" s="146"/>
      <c r="K298" s="128"/>
      <c r="L298" s="146"/>
      <c r="M298" s="128"/>
      <c r="N298" s="146"/>
      <c r="O298" s="128"/>
      <c r="P298" s="146"/>
      <c r="Q298" s="128"/>
      <c r="R298" s="146"/>
      <c r="S298" s="128"/>
      <c r="T298" s="146"/>
      <c r="U298" s="128"/>
      <c r="V298" s="146"/>
      <c r="W298" s="128"/>
      <c r="X298" s="146"/>
      <c r="Y298" s="128"/>
      <c r="Z298" s="146"/>
      <c r="AA298" s="128"/>
      <c r="AB298" s="146"/>
      <c r="AC298" s="128"/>
      <c r="AD298" s="146"/>
      <c r="AE298" s="128"/>
      <c r="AF298" s="146"/>
      <c r="AG298" s="128"/>
      <c r="AH298" s="146"/>
      <c r="AI298" s="128"/>
      <c r="AJ298" s="146"/>
      <c r="AK298" s="128"/>
      <c r="AL298" s="146"/>
      <c r="AM298" s="128"/>
      <c r="AN298" s="146"/>
    </row>
    <row r="299" spans="1:40" s="121" customFormat="1" ht="15" customHeight="1">
      <c r="A299" s="138" t="s">
        <v>959</v>
      </c>
      <c r="B299" s="138" t="s">
        <v>679</v>
      </c>
      <c r="C299" s="139">
        <v>162557</v>
      </c>
      <c r="D299" s="140">
        <v>9</v>
      </c>
      <c r="E299" s="128">
        <v>2880</v>
      </c>
      <c r="F299" s="146">
        <v>2821</v>
      </c>
      <c r="G299" s="128">
        <v>7230</v>
      </c>
      <c r="H299" s="146">
        <v>7801</v>
      </c>
      <c r="I299" s="128"/>
      <c r="J299" s="146"/>
      <c r="K299" s="128"/>
      <c r="L299" s="146"/>
      <c r="M299" s="128"/>
      <c r="N299" s="146"/>
      <c r="O299" s="128"/>
      <c r="P299" s="146"/>
      <c r="Q299" s="128"/>
      <c r="R299" s="146"/>
      <c r="S299" s="128"/>
      <c r="T299" s="146"/>
      <c r="U299" s="128"/>
      <c r="V299" s="146"/>
      <c r="W299" s="128"/>
      <c r="X299" s="146"/>
      <c r="Y299" s="128"/>
      <c r="Z299" s="146"/>
      <c r="AA299" s="128"/>
      <c r="AB299" s="146"/>
      <c r="AC299" s="128"/>
      <c r="AD299" s="146"/>
      <c r="AE299" s="128"/>
      <c r="AF299" s="146"/>
      <c r="AG299" s="128"/>
      <c r="AH299" s="146"/>
      <c r="AI299" s="128"/>
      <c r="AJ299" s="146"/>
      <c r="AK299" s="128"/>
      <c r="AL299" s="146"/>
      <c r="AM299" s="128"/>
      <c r="AN299" s="146"/>
    </row>
    <row r="300" spans="1:40" s="121" customFormat="1" ht="15" customHeight="1">
      <c r="A300" s="138" t="s">
        <v>959</v>
      </c>
      <c r="B300" s="138" t="s">
        <v>680</v>
      </c>
      <c r="C300" s="139">
        <v>162706</v>
      </c>
      <c r="D300" s="140">
        <v>9</v>
      </c>
      <c r="E300" s="128">
        <v>2445</v>
      </c>
      <c r="F300" s="366">
        <v>2490</v>
      </c>
      <c r="G300" s="128">
        <v>6045</v>
      </c>
      <c r="H300" s="366">
        <v>6990</v>
      </c>
      <c r="I300" s="128"/>
      <c r="J300" s="146"/>
      <c r="K300" s="128"/>
      <c r="L300" s="146"/>
      <c r="M300" s="128"/>
      <c r="N300" s="146"/>
      <c r="O300" s="128"/>
      <c r="P300" s="146"/>
      <c r="Q300" s="128"/>
      <c r="R300" s="146"/>
      <c r="S300" s="128"/>
      <c r="T300" s="146"/>
      <c r="U300" s="128"/>
      <c r="V300" s="146"/>
      <c r="W300" s="128"/>
      <c r="X300" s="146"/>
      <c r="Y300" s="128"/>
      <c r="Z300" s="146"/>
      <c r="AA300" s="128"/>
      <c r="AB300" s="146"/>
      <c r="AC300" s="128"/>
      <c r="AD300" s="146"/>
      <c r="AE300" s="128"/>
      <c r="AF300" s="146"/>
      <c r="AG300" s="128"/>
      <c r="AH300" s="146"/>
      <c r="AI300" s="128"/>
      <c r="AJ300" s="146"/>
      <c r="AK300" s="128"/>
      <c r="AL300" s="146"/>
      <c r="AM300" s="128"/>
      <c r="AN300" s="146"/>
    </row>
    <row r="301" spans="1:40" s="121" customFormat="1" ht="15" customHeight="1">
      <c r="A301" s="138" t="s">
        <v>959</v>
      </c>
      <c r="B301" s="138" t="s">
        <v>681</v>
      </c>
      <c r="C301" s="139">
        <v>162779</v>
      </c>
      <c r="D301" s="140">
        <v>9</v>
      </c>
      <c r="E301" s="128">
        <v>3035</v>
      </c>
      <c r="F301" s="366">
        <v>3420</v>
      </c>
      <c r="G301" s="128">
        <v>7025</v>
      </c>
      <c r="H301" s="146">
        <v>7248</v>
      </c>
      <c r="I301" s="128"/>
      <c r="J301" s="146"/>
      <c r="K301" s="128"/>
      <c r="L301" s="146"/>
      <c r="M301" s="128"/>
      <c r="N301" s="146"/>
      <c r="O301" s="128"/>
      <c r="P301" s="146"/>
      <c r="Q301" s="128"/>
      <c r="R301" s="146"/>
      <c r="S301" s="128"/>
      <c r="T301" s="146"/>
      <c r="U301" s="128"/>
      <c r="V301" s="146"/>
      <c r="W301" s="128"/>
      <c r="X301" s="146"/>
      <c r="Y301" s="128"/>
      <c r="Z301" s="146"/>
      <c r="AA301" s="128"/>
      <c r="AB301" s="146"/>
      <c r="AC301" s="128"/>
      <c r="AD301" s="146"/>
      <c r="AE301" s="128"/>
      <c r="AF301" s="146"/>
      <c r="AG301" s="128"/>
      <c r="AH301" s="146"/>
      <c r="AI301" s="128"/>
      <c r="AJ301" s="146"/>
      <c r="AK301" s="128"/>
      <c r="AL301" s="146"/>
      <c r="AM301" s="128"/>
      <c r="AN301" s="146"/>
    </row>
    <row r="302" spans="1:40" s="121" customFormat="1" ht="15" customHeight="1">
      <c r="A302" s="138" t="s">
        <v>959</v>
      </c>
      <c r="B302" s="138" t="s">
        <v>682</v>
      </c>
      <c r="C302" s="139">
        <v>161688</v>
      </c>
      <c r="D302" s="140">
        <v>10</v>
      </c>
      <c r="E302" s="128">
        <v>2720</v>
      </c>
      <c r="F302" s="366">
        <v>2734</v>
      </c>
      <c r="G302" s="128">
        <v>6080</v>
      </c>
      <c r="H302" s="366">
        <v>6094</v>
      </c>
      <c r="I302" s="128"/>
      <c r="J302" s="146"/>
      <c r="K302" s="128"/>
      <c r="L302" s="146"/>
      <c r="M302" s="128"/>
      <c r="N302" s="146"/>
      <c r="O302" s="128"/>
      <c r="P302" s="146"/>
      <c r="Q302" s="128"/>
      <c r="R302" s="146"/>
      <c r="S302" s="128"/>
      <c r="T302" s="146"/>
      <c r="U302" s="128"/>
      <c r="V302" s="146"/>
      <c r="W302" s="128"/>
      <c r="X302" s="146"/>
      <c r="Y302" s="128"/>
      <c r="Z302" s="146"/>
      <c r="AA302" s="128"/>
      <c r="AB302" s="146"/>
      <c r="AC302" s="128"/>
      <c r="AD302" s="146"/>
      <c r="AE302" s="128"/>
      <c r="AF302" s="146"/>
      <c r="AG302" s="128"/>
      <c r="AH302" s="146"/>
      <c r="AI302" s="128"/>
      <c r="AJ302" s="146"/>
      <c r="AK302" s="128"/>
      <c r="AL302" s="146"/>
      <c r="AM302" s="128"/>
      <c r="AN302" s="146"/>
    </row>
    <row r="303" spans="1:40" s="121" customFormat="1" ht="15" customHeight="1">
      <c r="A303" s="138" t="s">
        <v>959</v>
      </c>
      <c r="B303" s="138" t="s">
        <v>683</v>
      </c>
      <c r="C303" s="139">
        <v>405872</v>
      </c>
      <c r="D303" s="140">
        <v>10</v>
      </c>
      <c r="E303" s="128">
        <v>2876</v>
      </c>
      <c r="F303" s="146">
        <v>3096</v>
      </c>
      <c r="G303" s="128">
        <v>6780</v>
      </c>
      <c r="H303" s="366">
        <v>6570</v>
      </c>
      <c r="I303" s="128"/>
      <c r="J303" s="146"/>
      <c r="K303" s="128"/>
      <c r="L303" s="146"/>
      <c r="M303" s="128"/>
      <c r="N303" s="146"/>
      <c r="O303" s="128"/>
      <c r="P303" s="146"/>
      <c r="Q303" s="128"/>
      <c r="R303" s="146"/>
      <c r="S303" s="128"/>
      <c r="T303" s="146"/>
      <c r="U303" s="128"/>
      <c r="V303" s="146"/>
      <c r="W303" s="128"/>
      <c r="X303" s="146"/>
      <c r="Y303" s="128"/>
      <c r="Z303" s="146"/>
      <c r="AA303" s="128"/>
      <c r="AB303" s="146"/>
      <c r="AC303" s="128"/>
      <c r="AD303" s="146"/>
      <c r="AE303" s="128"/>
      <c r="AF303" s="146"/>
      <c r="AG303" s="128"/>
      <c r="AH303" s="146"/>
      <c r="AI303" s="128"/>
      <c r="AJ303" s="146"/>
      <c r="AK303" s="128"/>
      <c r="AL303" s="146"/>
      <c r="AM303" s="128"/>
      <c r="AN303" s="146"/>
    </row>
    <row r="304" spans="1:40" s="121" customFormat="1" ht="15" customHeight="1">
      <c r="A304" s="138" t="s">
        <v>959</v>
      </c>
      <c r="B304" s="138" t="s">
        <v>684</v>
      </c>
      <c r="C304" s="139">
        <v>162104</v>
      </c>
      <c r="D304" s="140">
        <v>10</v>
      </c>
      <c r="E304" s="128">
        <v>2550</v>
      </c>
      <c r="F304" s="146">
        <v>2730</v>
      </c>
      <c r="G304" s="128">
        <v>6450</v>
      </c>
      <c r="H304" s="146">
        <v>6780</v>
      </c>
      <c r="I304" s="128"/>
      <c r="J304" s="146"/>
      <c r="K304" s="128"/>
      <c r="L304" s="146"/>
      <c r="M304" s="128"/>
      <c r="N304" s="146"/>
      <c r="O304" s="128"/>
      <c r="P304" s="146"/>
      <c r="Q304" s="128"/>
      <c r="R304" s="146"/>
      <c r="S304" s="128"/>
      <c r="T304" s="146"/>
      <c r="U304" s="128"/>
      <c r="V304" s="146"/>
      <c r="W304" s="128"/>
      <c r="X304" s="146"/>
      <c r="Y304" s="128"/>
      <c r="Z304" s="146"/>
      <c r="AA304" s="128"/>
      <c r="AB304" s="146"/>
      <c r="AC304" s="128"/>
      <c r="AD304" s="146"/>
      <c r="AE304" s="128"/>
      <c r="AF304" s="146"/>
      <c r="AG304" s="128"/>
      <c r="AH304" s="146"/>
      <c r="AI304" s="128"/>
      <c r="AJ304" s="146"/>
      <c r="AK304" s="128"/>
      <c r="AL304" s="146"/>
      <c r="AM304" s="128"/>
      <c r="AN304" s="146"/>
    </row>
    <row r="305" spans="1:40" s="121" customFormat="1" ht="15" customHeight="1">
      <c r="A305" s="138" t="s">
        <v>959</v>
      </c>
      <c r="B305" s="138" t="s">
        <v>685</v>
      </c>
      <c r="C305" s="139">
        <v>162168</v>
      </c>
      <c r="D305" s="140">
        <v>10</v>
      </c>
      <c r="E305" s="128">
        <v>2550</v>
      </c>
      <c r="F305" s="366">
        <v>2730</v>
      </c>
      <c r="G305" s="128">
        <v>4470</v>
      </c>
      <c r="H305" s="366">
        <v>6030</v>
      </c>
      <c r="I305" s="128"/>
      <c r="J305" s="146"/>
      <c r="K305" s="128"/>
      <c r="L305" s="146"/>
      <c r="M305" s="128"/>
      <c r="N305" s="146"/>
      <c r="O305" s="128"/>
      <c r="P305" s="146"/>
      <c r="Q305" s="128"/>
      <c r="R305" s="146"/>
      <c r="S305" s="128"/>
      <c r="T305" s="146"/>
      <c r="U305" s="128"/>
      <c r="V305" s="146"/>
      <c r="W305" s="128"/>
      <c r="X305" s="146"/>
      <c r="Y305" s="128"/>
      <c r="Z305" s="146"/>
      <c r="AA305" s="128"/>
      <c r="AB305" s="146"/>
      <c r="AC305" s="128"/>
      <c r="AD305" s="146"/>
      <c r="AE305" s="128"/>
      <c r="AF305" s="146"/>
      <c r="AG305" s="128"/>
      <c r="AH305" s="146"/>
      <c r="AI305" s="128"/>
      <c r="AJ305" s="146"/>
      <c r="AK305" s="128"/>
      <c r="AL305" s="146"/>
      <c r="AM305" s="128"/>
      <c r="AN305" s="146"/>
    </row>
    <row r="306" spans="1:40" s="121" customFormat="1" ht="15" customHeight="1">
      <c r="A306" s="138" t="s">
        <v>959</v>
      </c>
      <c r="B306" s="138" t="s">
        <v>362</v>
      </c>
      <c r="C306" s="139">
        <v>162609</v>
      </c>
      <c r="D306" s="140">
        <v>10</v>
      </c>
      <c r="E306" s="128">
        <v>2670</v>
      </c>
      <c r="F306" s="146">
        <v>2790</v>
      </c>
      <c r="G306" s="128">
        <v>5970</v>
      </c>
      <c r="H306" s="146">
        <v>6750</v>
      </c>
      <c r="I306" s="128"/>
      <c r="J306" s="146"/>
      <c r="K306" s="128"/>
      <c r="L306" s="146"/>
      <c r="M306" s="128"/>
      <c r="N306" s="146"/>
      <c r="O306" s="128"/>
      <c r="P306" s="146"/>
      <c r="Q306" s="128"/>
      <c r="R306" s="146"/>
      <c r="S306" s="128"/>
      <c r="T306" s="146"/>
      <c r="U306" s="128"/>
      <c r="V306" s="146"/>
      <c r="W306" s="128"/>
      <c r="X306" s="146"/>
      <c r="Y306" s="128"/>
      <c r="Z306" s="146"/>
      <c r="AA306" s="128"/>
      <c r="AB306" s="146"/>
      <c r="AC306" s="128"/>
      <c r="AD306" s="146"/>
      <c r="AE306" s="128"/>
      <c r="AF306" s="146"/>
      <c r="AG306" s="128"/>
      <c r="AH306" s="146"/>
      <c r="AI306" s="128"/>
      <c r="AJ306" s="146"/>
      <c r="AK306" s="128"/>
      <c r="AL306" s="146"/>
      <c r="AM306" s="128"/>
      <c r="AN306" s="146"/>
    </row>
    <row r="307" spans="1:40" s="121" customFormat="1" ht="15" customHeight="1">
      <c r="A307" s="138" t="s">
        <v>959</v>
      </c>
      <c r="B307" s="138" t="s">
        <v>686</v>
      </c>
      <c r="C307" s="139">
        <v>162690</v>
      </c>
      <c r="D307" s="140">
        <v>10</v>
      </c>
      <c r="E307" s="128">
        <v>2760</v>
      </c>
      <c r="F307" s="146">
        <v>2900</v>
      </c>
      <c r="G307" s="128">
        <v>5070</v>
      </c>
      <c r="H307" s="146">
        <v>6720</v>
      </c>
      <c r="I307" s="128"/>
      <c r="J307" s="146"/>
      <c r="K307" s="128"/>
      <c r="L307" s="146"/>
      <c r="M307" s="128"/>
      <c r="N307" s="146"/>
      <c r="O307" s="128"/>
      <c r="P307" s="146"/>
      <c r="Q307" s="128"/>
      <c r="R307" s="146"/>
      <c r="S307" s="128"/>
      <c r="T307" s="146"/>
      <c r="U307" s="128"/>
      <c r="V307" s="146"/>
      <c r="W307" s="128"/>
      <c r="X307" s="146"/>
      <c r="Y307" s="128"/>
      <c r="Z307" s="146"/>
      <c r="AA307" s="128"/>
      <c r="AB307" s="146"/>
      <c r="AC307" s="128"/>
      <c r="AD307" s="146"/>
      <c r="AE307" s="128"/>
      <c r="AF307" s="146"/>
      <c r="AG307" s="128"/>
      <c r="AH307" s="146"/>
      <c r="AI307" s="128"/>
      <c r="AJ307" s="146"/>
      <c r="AK307" s="128"/>
      <c r="AL307" s="146"/>
      <c r="AM307" s="128"/>
      <c r="AN307" s="146"/>
    </row>
    <row r="308" spans="1:40" s="121" customFormat="1" ht="15" customHeight="1">
      <c r="A308" s="138" t="s">
        <v>959</v>
      </c>
      <c r="B308" s="138" t="s">
        <v>687</v>
      </c>
      <c r="C308" s="139">
        <v>164313</v>
      </c>
      <c r="D308" s="140">
        <v>10</v>
      </c>
      <c r="E308" s="128">
        <v>1920</v>
      </c>
      <c r="F308" s="366">
        <v>2156</v>
      </c>
      <c r="G308" s="128">
        <v>5520</v>
      </c>
      <c r="H308" s="146">
        <v>6236</v>
      </c>
      <c r="I308" s="128"/>
      <c r="J308" s="146"/>
      <c r="K308" s="128"/>
      <c r="L308" s="146"/>
      <c r="M308" s="128"/>
      <c r="N308" s="146"/>
      <c r="O308" s="128"/>
      <c r="P308" s="146"/>
      <c r="Q308" s="128"/>
      <c r="R308" s="146"/>
      <c r="S308" s="128"/>
      <c r="T308" s="146"/>
      <c r="U308" s="128"/>
      <c r="V308" s="146"/>
      <c r="W308" s="128"/>
      <c r="X308" s="146"/>
      <c r="Y308" s="128"/>
      <c r="Z308" s="146"/>
      <c r="AA308" s="128"/>
      <c r="AB308" s="146"/>
      <c r="AC308" s="128"/>
      <c r="AD308" s="146"/>
      <c r="AE308" s="128"/>
      <c r="AF308" s="146"/>
      <c r="AG308" s="128"/>
      <c r="AH308" s="146"/>
      <c r="AI308" s="128"/>
      <c r="AJ308" s="146"/>
      <c r="AK308" s="128"/>
      <c r="AL308" s="146"/>
      <c r="AM308" s="128"/>
      <c r="AN308" s="146"/>
    </row>
    <row r="309" spans="1:40" s="121" customFormat="1" ht="15" customHeight="1">
      <c r="A309" s="138" t="s">
        <v>959</v>
      </c>
      <c r="B309" s="138" t="s">
        <v>688</v>
      </c>
      <c r="C309" s="139">
        <v>163204</v>
      </c>
      <c r="D309" s="140">
        <v>15</v>
      </c>
      <c r="E309" s="128">
        <f>217*30</f>
        <v>6510</v>
      </c>
      <c r="F309" s="366">
        <v>6780</v>
      </c>
      <c r="G309" s="128">
        <f>399*30</f>
        <v>11970</v>
      </c>
      <c r="H309" s="146">
        <v>12360</v>
      </c>
      <c r="I309" s="128">
        <f>332*24</f>
        <v>7968</v>
      </c>
      <c r="J309" s="366">
        <v>8256</v>
      </c>
      <c r="K309" s="128">
        <f>542*24</f>
        <v>13008</v>
      </c>
      <c r="L309" s="366">
        <v>13392</v>
      </c>
      <c r="M309" s="128"/>
      <c r="N309" s="146"/>
      <c r="O309" s="128"/>
      <c r="P309" s="146"/>
      <c r="Q309" s="128"/>
      <c r="R309" s="146"/>
      <c r="S309" s="128"/>
      <c r="T309" s="146"/>
      <c r="U309" s="128"/>
      <c r="V309" s="146"/>
      <c r="W309" s="128"/>
      <c r="X309" s="146"/>
      <c r="Y309" s="128"/>
      <c r="Z309" s="146"/>
      <c r="AA309" s="128"/>
      <c r="AB309" s="146"/>
      <c r="AC309" s="128"/>
      <c r="AD309" s="146"/>
      <c r="AE309" s="128"/>
      <c r="AF309" s="146"/>
      <c r="AG309" s="128"/>
      <c r="AH309" s="146"/>
      <c r="AI309" s="128"/>
      <c r="AJ309" s="146"/>
      <c r="AK309" s="128"/>
      <c r="AL309" s="146"/>
      <c r="AM309" s="128"/>
      <c r="AN309" s="146"/>
    </row>
    <row r="310" spans="1:40" s="121" customFormat="1" ht="15" customHeight="1">
      <c r="A310" s="138" t="s">
        <v>959</v>
      </c>
      <c r="B310" s="147" t="s">
        <v>689</v>
      </c>
      <c r="C310" s="139">
        <v>163259</v>
      </c>
      <c r="D310" s="140">
        <v>15</v>
      </c>
      <c r="E310" s="128">
        <v>5852</v>
      </c>
      <c r="F310" s="146">
        <v>6162</v>
      </c>
      <c r="G310" s="128">
        <v>14089</v>
      </c>
      <c r="H310" s="146">
        <v>14875</v>
      </c>
      <c r="I310" s="128"/>
      <c r="J310" s="146"/>
      <c r="K310" s="128"/>
      <c r="L310" s="146"/>
      <c r="M310" s="128">
        <v>11533</v>
      </c>
      <c r="N310" s="366">
        <v>16253</v>
      </c>
      <c r="O310" s="128">
        <v>26504</v>
      </c>
      <c r="P310" s="146">
        <v>27532</v>
      </c>
      <c r="Q310" s="128">
        <v>18159</v>
      </c>
      <c r="R310" s="146">
        <v>19046</v>
      </c>
      <c r="S310" s="128">
        <v>33224</v>
      </c>
      <c r="T310" s="146">
        <v>34864</v>
      </c>
      <c r="U310" s="128">
        <v>15405</v>
      </c>
      <c r="V310" s="146">
        <v>16155</v>
      </c>
      <c r="W310" s="128">
        <v>31441</v>
      </c>
      <c r="X310" s="146">
        <v>32993</v>
      </c>
      <c r="Y310" s="128">
        <v>10415</v>
      </c>
      <c r="Z310" s="146">
        <v>11338</v>
      </c>
      <c r="AA310" s="128">
        <v>21086</v>
      </c>
      <c r="AB310" s="146">
        <v>23023</v>
      </c>
      <c r="AC310" s="128"/>
      <c r="AD310" s="146"/>
      <c r="AE310" s="128"/>
      <c r="AF310" s="146"/>
      <c r="AG310" s="128"/>
      <c r="AH310" s="146"/>
      <c r="AI310" s="128"/>
      <c r="AJ310" s="146"/>
      <c r="AK310" s="128"/>
      <c r="AL310" s="146"/>
      <c r="AM310" s="128"/>
      <c r="AN310" s="146"/>
    </row>
    <row r="311" spans="1:40" s="262" customFormat="1" ht="15" customHeight="1">
      <c r="A311" s="260" t="s">
        <v>960</v>
      </c>
      <c r="B311" s="260" t="s">
        <v>691</v>
      </c>
      <c r="C311" s="261">
        <v>176372</v>
      </c>
      <c r="D311" s="261">
        <v>1</v>
      </c>
      <c r="E311" s="128">
        <v>3873</v>
      </c>
      <c r="F311" s="146">
        <v>4105</v>
      </c>
      <c r="G311" s="128">
        <v>8751</v>
      </c>
      <c r="H311" s="146">
        <v>9276</v>
      </c>
      <c r="I311" s="128">
        <v>3873</v>
      </c>
      <c r="J311" s="146">
        <v>4105</v>
      </c>
      <c r="K311" s="128">
        <v>8751</v>
      </c>
      <c r="L311" s="146">
        <v>9276</v>
      </c>
      <c r="M311" s="128"/>
      <c r="N311" s="146"/>
      <c r="O311" s="128"/>
      <c r="P311" s="146"/>
      <c r="Q311" s="128"/>
      <c r="R311" s="146"/>
      <c r="S311" s="128"/>
      <c r="T311" s="146"/>
      <c r="U311" s="128"/>
      <c r="V311" s="146"/>
      <c r="W311" s="128"/>
      <c r="X311" s="146"/>
      <c r="Y311" s="128"/>
      <c r="Z311" s="146"/>
      <c r="AA311" s="128"/>
      <c r="AB311" s="146"/>
      <c r="AC311" s="128"/>
      <c r="AD311" s="146"/>
      <c r="AE311" s="128"/>
      <c r="AF311" s="146"/>
      <c r="AG311" s="128"/>
      <c r="AH311" s="146"/>
      <c r="AI311" s="128"/>
      <c r="AJ311" s="146"/>
      <c r="AK311" s="128"/>
      <c r="AL311" s="146"/>
      <c r="AM311" s="128"/>
      <c r="AN311" s="146"/>
    </row>
    <row r="312" spans="1:40" s="262" customFormat="1" ht="15" customHeight="1">
      <c r="A312" s="260" t="s">
        <v>960</v>
      </c>
      <c r="B312" s="260" t="s">
        <v>690</v>
      </c>
      <c r="C312" s="261">
        <v>176080</v>
      </c>
      <c r="D312" s="261">
        <v>2</v>
      </c>
      <c r="E312" s="128">
        <v>3873</v>
      </c>
      <c r="F312" s="146">
        <v>4105</v>
      </c>
      <c r="G312" s="128">
        <v>8778</v>
      </c>
      <c r="H312" s="146">
        <v>9304</v>
      </c>
      <c r="I312" s="128">
        <v>3873</v>
      </c>
      <c r="J312" s="146">
        <v>4105</v>
      </c>
      <c r="K312" s="128">
        <v>8778</v>
      </c>
      <c r="L312" s="146">
        <v>9304</v>
      </c>
      <c r="M312" s="128"/>
      <c r="N312" s="146"/>
      <c r="O312" s="128"/>
      <c r="P312" s="146"/>
      <c r="Q312" s="128"/>
      <c r="R312" s="146"/>
      <c r="S312" s="128"/>
      <c r="T312" s="146"/>
      <c r="U312" s="128"/>
      <c r="V312" s="146"/>
      <c r="W312" s="128"/>
      <c r="X312" s="146"/>
      <c r="Y312" s="128"/>
      <c r="Z312" s="146"/>
      <c r="AA312" s="128"/>
      <c r="AB312" s="146"/>
      <c r="AC312" s="128"/>
      <c r="AD312" s="146"/>
      <c r="AE312" s="128"/>
      <c r="AF312" s="146"/>
      <c r="AG312" s="128"/>
      <c r="AH312" s="146"/>
      <c r="AI312" s="128"/>
      <c r="AJ312" s="146"/>
      <c r="AK312" s="128">
        <v>8118</v>
      </c>
      <c r="AL312" s="146">
        <v>9230</v>
      </c>
      <c r="AM312" s="128">
        <v>24273</v>
      </c>
      <c r="AN312" s="146">
        <v>27792</v>
      </c>
    </row>
    <row r="313" spans="1:40" s="262" customFormat="1" ht="15" customHeight="1">
      <c r="A313" s="260" t="s">
        <v>960</v>
      </c>
      <c r="B313" s="260" t="s">
        <v>692</v>
      </c>
      <c r="C313" s="261">
        <v>176017</v>
      </c>
      <c r="D313" s="261">
        <v>2</v>
      </c>
      <c r="E313" s="128">
        <v>3916</v>
      </c>
      <c r="F313" s="146">
        <v>4110</v>
      </c>
      <c r="G313" s="128">
        <v>8826</v>
      </c>
      <c r="H313" s="146">
        <v>9264</v>
      </c>
      <c r="I313" s="128">
        <v>3916</v>
      </c>
      <c r="J313" s="146">
        <v>4110</v>
      </c>
      <c r="K313" s="128">
        <v>8826</v>
      </c>
      <c r="L313" s="146">
        <v>9264</v>
      </c>
      <c r="M313" s="128">
        <v>6615</v>
      </c>
      <c r="N313" s="146">
        <v>7015</v>
      </c>
      <c r="O313" s="128">
        <v>12542</v>
      </c>
      <c r="P313" s="146">
        <v>12942</v>
      </c>
      <c r="Q313" s="128"/>
      <c r="R313" s="146"/>
      <c r="S313" s="128"/>
      <c r="T313" s="146"/>
      <c r="U313" s="128"/>
      <c r="V313" s="146"/>
      <c r="W313" s="128"/>
      <c r="X313" s="146"/>
      <c r="Y313" s="128">
        <v>6315</v>
      </c>
      <c r="Z313" s="146">
        <v>7056</v>
      </c>
      <c r="AA313" s="128">
        <v>12203</v>
      </c>
      <c r="AB313" s="146">
        <v>13032</v>
      </c>
      <c r="AC313" s="128"/>
      <c r="AD313" s="146"/>
      <c r="AE313" s="128"/>
      <c r="AF313" s="146"/>
      <c r="AG313" s="128"/>
      <c r="AH313" s="146"/>
      <c r="AI313" s="128"/>
      <c r="AJ313" s="146"/>
      <c r="AK313" s="128"/>
      <c r="AL313" s="146"/>
      <c r="AM313" s="128"/>
      <c r="AN313" s="146"/>
    </row>
    <row r="314" spans="1:40" s="262" customFormat="1" ht="15" customHeight="1">
      <c r="A314" s="260" t="s">
        <v>960</v>
      </c>
      <c r="B314" s="260" t="s">
        <v>693</v>
      </c>
      <c r="C314" s="261">
        <v>175856</v>
      </c>
      <c r="D314" s="261">
        <v>3</v>
      </c>
      <c r="E314" s="128">
        <v>3612</v>
      </c>
      <c r="F314" s="146">
        <v>3841</v>
      </c>
      <c r="G314" s="128">
        <v>8116</v>
      </c>
      <c r="H314" s="146">
        <v>8570</v>
      </c>
      <c r="I314" s="128">
        <v>3612</v>
      </c>
      <c r="J314" s="146">
        <v>3841</v>
      </c>
      <c r="K314" s="128">
        <v>8116</v>
      </c>
      <c r="L314" s="146">
        <v>8570</v>
      </c>
      <c r="M314" s="128"/>
      <c r="N314" s="146"/>
      <c r="O314" s="128"/>
      <c r="P314" s="146"/>
      <c r="Q314" s="128"/>
      <c r="R314" s="146"/>
      <c r="S314" s="128"/>
      <c r="T314" s="146"/>
      <c r="U314" s="128"/>
      <c r="V314" s="146"/>
      <c r="W314" s="128"/>
      <c r="X314" s="146"/>
      <c r="Y314" s="128"/>
      <c r="Z314" s="146"/>
      <c r="AA314" s="128"/>
      <c r="AB314" s="146"/>
      <c r="AC314" s="128"/>
      <c r="AD314" s="146"/>
      <c r="AE314" s="128"/>
      <c r="AF314" s="146"/>
      <c r="AG314" s="128"/>
      <c r="AH314" s="146"/>
      <c r="AI314" s="128"/>
      <c r="AJ314" s="146"/>
      <c r="AK314" s="128"/>
      <c r="AL314" s="146"/>
      <c r="AM314" s="128"/>
      <c r="AN314" s="146"/>
    </row>
    <row r="315" spans="1:40" s="262" customFormat="1" ht="15" customHeight="1">
      <c r="A315" s="260" t="s">
        <v>960</v>
      </c>
      <c r="B315" s="260" t="s">
        <v>694</v>
      </c>
      <c r="C315" s="261">
        <v>175342</v>
      </c>
      <c r="D315" s="261">
        <v>4</v>
      </c>
      <c r="E315" s="128">
        <v>3459</v>
      </c>
      <c r="F315" s="146">
        <v>3732</v>
      </c>
      <c r="G315" s="128">
        <v>7965</v>
      </c>
      <c r="H315" s="146">
        <v>8463</v>
      </c>
      <c r="I315" s="128">
        <v>3192</v>
      </c>
      <c r="J315" s="146">
        <v>3465</v>
      </c>
      <c r="K315" s="128">
        <v>7698</v>
      </c>
      <c r="L315" s="146">
        <v>8196</v>
      </c>
      <c r="M315" s="128"/>
      <c r="N315" s="146"/>
      <c r="O315" s="128"/>
      <c r="P315" s="146"/>
      <c r="Q315" s="128"/>
      <c r="R315" s="146"/>
      <c r="S315" s="128"/>
      <c r="T315" s="146"/>
      <c r="U315" s="128"/>
      <c r="V315" s="146"/>
      <c r="W315" s="128"/>
      <c r="X315" s="146"/>
      <c r="Y315" s="128"/>
      <c r="Z315" s="146"/>
      <c r="AA315" s="128"/>
      <c r="AB315" s="146"/>
      <c r="AC315" s="128"/>
      <c r="AD315" s="146"/>
      <c r="AE315" s="128"/>
      <c r="AF315" s="146"/>
      <c r="AG315" s="128"/>
      <c r="AH315" s="146"/>
      <c r="AI315" s="128"/>
      <c r="AJ315" s="146"/>
      <c r="AK315" s="128"/>
      <c r="AL315" s="146"/>
      <c r="AM315" s="128"/>
      <c r="AN315" s="146"/>
    </row>
    <row r="316" spans="1:40" s="262" customFormat="1" ht="15" customHeight="1">
      <c r="A316" s="260" t="s">
        <v>960</v>
      </c>
      <c r="B316" s="260" t="s">
        <v>695</v>
      </c>
      <c r="C316" s="261">
        <v>175616</v>
      </c>
      <c r="D316" s="261">
        <v>4</v>
      </c>
      <c r="E316" s="128">
        <v>3348</v>
      </c>
      <c r="F316" s="146">
        <v>3582</v>
      </c>
      <c r="G316" s="128">
        <v>7965</v>
      </c>
      <c r="H316" s="146">
        <v>8521</v>
      </c>
      <c r="I316" s="128">
        <v>3348</v>
      </c>
      <c r="J316" s="146">
        <v>3582</v>
      </c>
      <c r="K316" s="128">
        <v>7965</v>
      </c>
      <c r="L316" s="146">
        <v>8521</v>
      </c>
      <c r="M316" s="128"/>
      <c r="N316" s="146"/>
      <c r="O316" s="128"/>
      <c r="P316" s="146"/>
      <c r="Q316" s="128"/>
      <c r="R316" s="146"/>
      <c r="S316" s="128"/>
      <c r="T316" s="146"/>
      <c r="U316" s="128"/>
      <c r="V316" s="146"/>
      <c r="W316" s="128"/>
      <c r="X316" s="146"/>
      <c r="Y316" s="128"/>
      <c r="Z316" s="146"/>
      <c r="AA316" s="128"/>
      <c r="AB316" s="146"/>
      <c r="AC316" s="128"/>
      <c r="AD316" s="146"/>
      <c r="AE316" s="128"/>
      <c r="AF316" s="146"/>
      <c r="AG316" s="128"/>
      <c r="AH316" s="146"/>
      <c r="AI316" s="128"/>
      <c r="AJ316" s="146"/>
      <c r="AK316" s="128"/>
      <c r="AL316" s="146"/>
      <c r="AM316" s="128"/>
      <c r="AN316" s="146"/>
    </row>
    <row r="317" spans="1:40" s="262" customFormat="1" ht="15" customHeight="1">
      <c r="A317" s="260" t="s">
        <v>960</v>
      </c>
      <c r="B317" s="260" t="s">
        <v>696</v>
      </c>
      <c r="C317" s="261">
        <v>176035</v>
      </c>
      <c r="D317" s="261">
        <v>5</v>
      </c>
      <c r="E317" s="128">
        <v>3298</v>
      </c>
      <c r="F317" s="146">
        <v>3495</v>
      </c>
      <c r="G317" s="128">
        <v>7965</v>
      </c>
      <c r="H317" s="146">
        <v>8442</v>
      </c>
      <c r="I317" s="128">
        <v>3298</v>
      </c>
      <c r="J317" s="146">
        <v>3495</v>
      </c>
      <c r="K317" s="128">
        <v>7965</v>
      </c>
      <c r="L317" s="146">
        <v>8442</v>
      </c>
      <c r="M317" s="128"/>
      <c r="N317" s="146"/>
      <c r="O317" s="128"/>
      <c r="P317" s="146"/>
      <c r="Q317" s="128"/>
      <c r="R317" s="146"/>
      <c r="S317" s="128"/>
      <c r="T317" s="146"/>
      <c r="U317" s="128"/>
      <c r="V317" s="146"/>
      <c r="W317" s="128"/>
      <c r="X317" s="146"/>
      <c r="Y317" s="128"/>
      <c r="Z317" s="146"/>
      <c r="AA317" s="128"/>
      <c r="AB317" s="146"/>
      <c r="AC317" s="128"/>
      <c r="AD317" s="146"/>
      <c r="AE317" s="128"/>
      <c r="AF317" s="146"/>
      <c r="AG317" s="128"/>
      <c r="AH317" s="146"/>
      <c r="AI317" s="128"/>
      <c r="AJ317" s="146"/>
      <c r="AK317" s="128"/>
      <c r="AL317" s="146"/>
      <c r="AM317" s="128"/>
      <c r="AN317" s="146"/>
    </row>
    <row r="318" spans="1:40" s="262" customFormat="1" ht="15" customHeight="1">
      <c r="A318" s="260" t="s">
        <v>960</v>
      </c>
      <c r="B318" s="260" t="s">
        <v>697</v>
      </c>
      <c r="C318" s="261">
        <v>176044</v>
      </c>
      <c r="D318" s="261">
        <v>5</v>
      </c>
      <c r="E318" s="128">
        <v>3411</v>
      </c>
      <c r="F318" s="146">
        <v>3832</v>
      </c>
      <c r="G318" s="128">
        <v>7965</v>
      </c>
      <c r="H318" s="146">
        <v>8441</v>
      </c>
      <c r="I318" s="128">
        <v>3502</v>
      </c>
      <c r="J318" s="146">
        <v>3933</v>
      </c>
      <c r="K318" s="128">
        <v>8056</v>
      </c>
      <c r="L318" s="146">
        <v>8942</v>
      </c>
      <c r="M318" s="128"/>
      <c r="N318" s="146"/>
      <c r="O318" s="128"/>
      <c r="P318" s="146"/>
      <c r="Q318" s="128"/>
      <c r="R318" s="146"/>
      <c r="S318" s="128"/>
      <c r="T318" s="146"/>
      <c r="U318" s="128"/>
      <c r="V318" s="146"/>
      <c r="W318" s="128"/>
      <c r="X318" s="146"/>
      <c r="Y318" s="128"/>
      <c r="Z318" s="146"/>
      <c r="AA318" s="128"/>
      <c r="AB318" s="146"/>
      <c r="AC318" s="128"/>
      <c r="AD318" s="146"/>
      <c r="AE318" s="128"/>
      <c r="AF318" s="146"/>
      <c r="AG318" s="128"/>
      <c r="AH318" s="146"/>
      <c r="AI318" s="128"/>
      <c r="AJ318" s="146"/>
      <c r="AK318" s="128"/>
      <c r="AL318" s="146"/>
      <c r="AM318" s="128"/>
      <c r="AN318" s="146"/>
    </row>
    <row r="319" spans="1:40" s="262" customFormat="1" ht="15" customHeight="1">
      <c r="A319" s="260" t="s">
        <v>960</v>
      </c>
      <c r="B319" s="260" t="s">
        <v>698</v>
      </c>
      <c r="C319" s="261">
        <v>176026</v>
      </c>
      <c r="D319" s="261">
        <v>15</v>
      </c>
      <c r="E319" s="128">
        <v>2850</v>
      </c>
      <c r="F319" s="278">
        <v>3232</v>
      </c>
      <c r="G319" s="128">
        <v>6092</v>
      </c>
      <c r="H319" s="278">
        <v>6908</v>
      </c>
      <c r="I319" s="128">
        <v>2850</v>
      </c>
      <c r="J319" s="278">
        <v>3232</v>
      </c>
      <c r="K319" s="128">
        <v>6092</v>
      </c>
      <c r="L319" s="278">
        <v>6908</v>
      </c>
      <c r="M319" s="128"/>
      <c r="N319" s="278"/>
      <c r="O319" s="128"/>
      <c r="P319" s="278"/>
      <c r="Q319" s="128">
        <v>6938</v>
      </c>
      <c r="R319" s="278">
        <v>7285</v>
      </c>
      <c r="S319" s="128">
        <v>13298</v>
      </c>
      <c r="T319" s="278">
        <v>13963</v>
      </c>
      <c r="U319" s="128">
        <v>5681</v>
      </c>
      <c r="V319" s="278">
        <v>5965</v>
      </c>
      <c r="W319" s="128">
        <v>12041</v>
      </c>
      <c r="X319" s="278">
        <v>12646</v>
      </c>
      <c r="Y319" s="128"/>
      <c r="Z319" s="278"/>
      <c r="AA319" s="128"/>
      <c r="AB319" s="278"/>
      <c r="AC319" s="128"/>
      <c r="AD319" s="278"/>
      <c r="AE319" s="128"/>
      <c r="AF319" s="278"/>
      <c r="AG319" s="128"/>
      <c r="AH319" s="278"/>
      <c r="AI319" s="128"/>
      <c r="AJ319" s="278"/>
      <c r="AK319" s="128"/>
      <c r="AL319" s="278"/>
      <c r="AM319" s="128"/>
      <c r="AN319" s="278"/>
    </row>
    <row r="320" spans="1:40" s="121" customFormat="1" ht="15" customHeight="1">
      <c r="A320" s="122" t="s">
        <v>960</v>
      </c>
      <c r="B320" s="122" t="s">
        <v>699</v>
      </c>
      <c r="C320" s="144">
        <v>175786</v>
      </c>
      <c r="D320" s="124">
        <v>8</v>
      </c>
      <c r="E320" s="128">
        <v>1540</v>
      </c>
      <c r="F320" s="278">
        <v>1740</v>
      </c>
      <c r="G320" s="128">
        <v>3746</v>
      </c>
      <c r="H320" s="278">
        <v>3946</v>
      </c>
      <c r="I320" s="128"/>
      <c r="J320" s="278"/>
      <c r="K320" s="128"/>
      <c r="L320" s="278"/>
      <c r="M320" s="128"/>
      <c r="N320" s="278"/>
      <c r="O320" s="128"/>
      <c r="P320" s="278"/>
      <c r="Q320" s="128"/>
      <c r="R320" s="278"/>
      <c r="S320" s="128"/>
      <c r="T320" s="278"/>
      <c r="U320" s="128"/>
      <c r="V320" s="278"/>
      <c r="W320" s="128"/>
      <c r="X320" s="278"/>
      <c r="Y320" s="128"/>
      <c r="Z320" s="278"/>
      <c r="AA320" s="128"/>
      <c r="AB320" s="278"/>
      <c r="AC320" s="128"/>
      <c r="AD320" s="278"/>
      <c r="AE320" s="128"/>
      <c r="AF320" s="278"/>
      <c r="AG320" s="128"/>
      <c r="AH320" s="278"/>
      <c r="AI320" s="128"/>
      <c r="AJ320" s="278"/>
      <c r="AK320" s="128"/>
      <c r="AL320" s="278"/>
      <c r="AM320" s="128"/>
      <c r="AN320" s="278"/>
    </row>
    <row r="321" spans="1:40" s="149" customFormat="1" ht="15" customHeight="1">
      <c r="A321" s="122" t="s">
        <v>960</v>
      </c>
      <c r="B321" s="122" t="s">
        <v>704</v>
      </c>
      <c r="C321" s="144">
        <v>176071</v>
      </c>
      <c r="D321" s="124">
        <v>8</v>
      </c>
      <c r="E321" s="128">
        <v>1402</v>
      </c>
      <c r="F321" s="278">
        <v>1602</v>
      </c>
      <c r="G321" s="128">
        <v>3248</v>
      </c>
      <c r="H321" s="278">
        <v>3448</v>
      </c>
      <c r="I321" s="128"/>
      <c r="J321" s="278"/>
      <c r="K321" s="128"/>
      <c r="L321" s="278"/>
      <c r="M321" s="128"/>
      <c r="N321" s="278"/>
      <c r="O321" s="128"/>
      <c r="P321" s="278"/>
      <c r="Q321" s="128"/>
      <c r="R321" s="278"/>
      <c r="S321" s="128"/>
      <c r="T321" s="278"/>
      <c r="U321" s="128"/>
      <c r="V321" s="278"/>
      <c r="W321" s="128"/>
      <c r="X321" s="278"/>
      <c r="Y321" s="128"/>
      <c r="Z321" s="278"/>
      <c r="AA321" s="128"/>
      <c r="AB321" s="278"/>
      <c r="AC321" s="128"/>
      <c r="AD321" s="278"/>
      <c r="AE321" s="128"/>
      <c r="AF321" s="278"/>
      <c r="AG321" s="128"/>
      <c r="AH321" s="278"/>
      <c r="AI321" s="128"/>
      <c r="AJ321" s="278"/>
      <c r="AK321" s="128"/>
      <c r="AL321" s="278"/>
      <c r="AM321" s="128"/>
      <c r="AN321" s="278"/>
    </row>
    <row r="322" spans="1:40" s="121" customFormat="1" ht="15" customHeight="1">
      <c r="A322" s="122" t="s">
        <v>960</v>
      </c>
      <c r="B322" s="122" t="s">
        <v>705</v>
      </c>
      <c r="C322" s="144">
        <v>175573</v>
      </c>
      <c r="D322" s="124">
        <v>9</v>
      </c>
      <c r="E322" s="128">
        <v>1500</v>
      </c>
      <c r="F322" s="278">
        <v>1700</v>
      </c>
      <c r="G322" s="128">
        <v>3100</v>
      </c>
      <c r="H322" s="278">
        <v>3500</v>
      </c>
      <c r="I322" s="128"/>
      <c r="J322" s="278"/>
      <c r="K322" s="128"/>
      <c r="L322" s="278"/>
      <c r="M322" s="128"/>
      <c r="N322" s="278"/>
      <c r="O322" s="128"/>
      <c r="P322" s="278"/>
      <c r="Q322" s="128"/>
      <c r="R322" s="278"/>
      <c r="S322" s="128"/>
      <c r="T322" s="278"/>
      <c r="U322" s="128"/>
      <c r="V322" s="278"/>
      <c r="W322" s="128"/>
      <c r="X322" s="278"/>
      <c r="Y322" s="128"/>
      <c r="Z322" s="278"/>
      <c r="AA322" s="128"/>
      <c r="AB322" s="278"/>
      <c r="AC322" s="128"/>
      <c r="AD322" s="278"/>
      <c r="AE322" s="128"/>
      <c r="AF322" s="278"/>
      <c r="AG322" s="128"/>
      <c r="AH322" s="278"/>
      <c r="AI322" s="128"/>
      <c r="AJ322" s="278"/>
      <c r="AK322" s="128"/>
      <c r="AL322" s="278"/>
      <c r="AM322" s="128"/>
      <c r="AN322" s="278"/>
    </row>
    <row r="323" spans="1:40" s="121" customFormat="1" ht="15" customHeight="1">
      <c r="A323" s="122" t="s">
        <v>960</v>
      </c>
      <c r="B323" s="122" t="s">
        <v>925</v>
      </c>
      <c r="C323" s="144">
        <v>175643</v>
      </c>
      <c r="D323" s="124">
        <v>9</v>
      </c>
      <c r="E323" s="128">
        <v>1430</v>
      </c>
      <c r="F323" s="278">
        <v>1480</v>
      </c>
      <c r="G323" s="128">
        <v>3530</v>
      </c>
      <c r="H323" s="278">
        <v>3580</v>
      </c>
      <c r="I323" s="128"/>
      <c r="J323" s="278"/>
      <c r="K323" s="128"/>
      <c r="L323" s="278"/>
      <c r="M323" s="128"/>
      <c r="N323" s="278"/>
      <c r="O323" s="128"/>
      <c r="P323" s="278"/>
      <c r="Q323" s="128"/>
      <c r="R323" s="278"/>
      <c r="S323" s="128"/>
      <c r="T323" s="278"/>
      <c r="U323" s="128"/>
      <c r="V323" s="278"/>
      <c r="W323" s="128"/>
      <c r="X323" s="278"/>
      <c r="Y323" s="128"/>
      <c r="Z323" s="278"/>
      <c r="AA323" s="128"/>
      <c r="AB323" s="278"/>
      <c r="AC323" s="128"/>
      <c r="AD323" s="278"/>
      <c r="AE323" s="128"/>
      <c r="AF323" s="278"/>
      <c r="AG323" s="128"/>
      <c r="AH323" s="278"/>
      <c r="AI323" s="128"/>
      <c r="AJ323" s="278"/>
      <c r="AK323" s="128"/>
      <c r="AL323" s="278"/>
      <c r="AM323" s="128"/>
      <c r="AN323" s="278"/>
    </row>
    <row r="324" spans="1:40" s="121" customFormat="1" ht="15" customHeight="1">
      <c r="A324" s="122" t="s">
        <v>960</v>
      </c>
      <c r="B324" s="122" t="s">
        <v>706</v>
      </c>
      <c r="C324" s="144">
        <v>175652</v>
      </c>
      <c r="D324" s="124">
        <v>9</v>
      </c>
      <c r="E324" s="128">
        <v>1260</v>
      </c>
      <c r="F324" s="278">
        <v>1560</v>
      </c>
      <c r="G324" s="128">
        <v>3010</v>
      </c>
      <c r="H324" s="278">
        <v>3310</v>
      </c>
      <c r="I324" s="128"/>
      <c r="J324" s="278"/>
      <c r="K324" s="128"/>
      <c r="L324" s="278"/>
      <c r="M324" s="128"/>
      <c r="N324" s="278"/>
      <c r="O324" s="128"/>
      <c r="P324" s="278"/>
      <c r="Q324" s="128"/>
      <c r="R324" s="278"/>
      <c r="S324" s="128"/>
      <c r="T324" s="278"/>
      <c r="U324" s="128"/>
      <c r="V324" s="278"/>
      <c r="W324" s="128"/>
      <c r="X324" s="278"/>
      <c r="Y324" s="128"/>
      <c r="Z324" s="278"/>
      <c r="AA324" s="128"/>
      <c r="AB324" s="278"/>
      <c r="AC324" s="128"/>
      <c r="AD324" s="278"/>
      <c r="AE324" s="128"/>
      <c r="AF324" s="278"/>
      <c r="AG324" s="128"/>
      <c r="AH324" s="278"/>
      <c r="AI324" s="128"/>
      <c r="AJ324" s="278"/>
      <c r="AK324" s="128"/>
      <c r="AL324" s="278"/>
      <c r="AM324" s="128"/>
      <c r="AN324" s="278"/>
    </row>
    <row r="325" spans="1:40" s="121" customFormat="1" ht="15" customHeight="1">
      <c r="A325" s="122" t="s">
        <v>960</v>
      </c>
      <c r="B325" s="122" t="s">
        <v>707</v>
      </c>
      <c r="C325" s="144">
        <v>175810</v>
      </c>
      <c r="D325" s="124">
        <v>9</v>
      </c>
      <c r="E325" s="128">
        <v>1424</v>
      </c>
      <c r="F325" s="278">
        <v>1424</v>
      </c>
      <c r="G325" s="128">
        <v>3124</v>
      </c>
      <c r="H325" s="278">
        <v>3124</v>
      </c>
      <c r="I325" s="128"/>
      <c r="J325" s="278"/>
      <c r="K325" s="128"/>
      <c r="L325" s="278"/>
      <c r="M325" s="128"/>
      <c r="N325" s="278"/>
      <c r="O325" s="128"/>
      <c r="P325" s="278"/>
      <c r="Q325" s="128"/>
      <c r="R325" s="278"/>
      <c r="S325" s="128"/>
      <c r="T325" s="278"/>
      <c r="U325" s="128"/>
      <c r="V325" s="278"/>
      <c r="W325" s="128"/>
      <c r="X325" s="278"/>
      <c r="Y325" s="128"/>
      <c r="Z325" s="278"/>
      <c r="AA325" s="128"/>
      <c r="AB325" s="278"/>
      <c r="AC325" s="128"/>
      <c r="AD325" s="278"/>
      <c r="AE325" s="128"/>
      <c r="AF325" s="278"/>
      <c r="AG325" s="128"/>
      <c r="AH325" s="278"/>
      <c r="AI325" s="128"/>
      <c r="AJ325" s="278"/>
      <c r="AK325" s="128"/>
      <c r="AL325" s="278"/>
      <c r="AM325" s="128"/>
      <c r="AN325" s="278"/>
    </row>
    <row r="326" spans="1:40" s="121" customFormat="1" ht="15" customHeight="1">
      <c r="A326" s="122" t="s">
        <v>960</v>
      </c>
      <c r="B326" s="122" t="s">
        <v>708</v>
      </c>
      <c r="C326" s="144">
        <v>175829</v>
      </c>
      <c r="D326" s="124">
        <v>9</v>
      </c>
      <c r="E326" s="128">
        <v>1260</v>
      </c>
      <c r="F326" s="278">
        <v>1460</v>
      </c>
      <c r="G326" s="128">
        <v>3010</v>
      </c>
      <c r="H326" s="278">
        <v>3210</v>
      </c>
      <c r="I326" s="128"/>
      <c r="J326" s="278"/>
      <c r="K326" s="128"/>
      <c r="L326" s="278"/>
      <c r="M326" s="128"/>
      <c r="N326" s="278"/>
      <c r="O326" s="128"/>
      <c r="P326" s="278"/>
      <c r="Q326" s="128"/>
      <c r="R326" s="278"/>
      <c r="S326" s="128"/>
      <c r="T326" s="278"/>
      <c r="U326" s="128"/>
      <c r="V326" s="278"/>
      <c r="W326" s="128"/>
      <c r="X326" s="278"/>
      <c r="Y326" s="128"/>
      <c r="Z326" s="278"/>
      <c r="AA326" s="128"/>
      <c r="AB326" s="278"/>
      <c r="AC326" s="128"/>
      <c r="AD326" s="278"/>
      <c r="AE326" s="128"/>
      <c r="AF326" s="278"/>
      <c r="AG326" s="128"/>
      <c r="AH326" s="278"/>
      <c r="AI326" s="128"/>
      <c r="AJ326" s="278"/>
      <c r="AK326" s="128"/>
      <c r="AL326" s="278"/>
      <c r="AM326" s="128"/>
      <c r="AN326" s="278"/>
    </row>
    <row r="327" spans="1:40" s="121" customFormat="1" ht="15" customHeight="1">
      <c r="A327" s="122" t="s">
        <v>960</v>
      </c>
      <c r="B327" s="122" t="s">
        <v>709</v>
      </c>
      <c r="C327" s="144">
        <v>175883</v>
      </c>
      <c r="D327" s="124">
        <v>9</v>
      </c>
      <c r="E327" s="128">
        <v>1258</v>
      </c>
      <c r="F327" s="278">
        <v>1620</v>
      </c>
      <c r="G327" s="128">
        <v>3158</v>
      </c>
      <c r="H327" s="278">
        <v>3520</v>
      </c>
      <c r="I327" s="128"/>
      <c r="J327" s="278"/>
      <c r="K327" s="128"/>
      <c r="L327" s="278"/>
      <c r="M327" s="128"/>
      <c r="N327" s="278"/>
      <c r="O327" s="128"/>
      <c r="P327" s="278"/>
      <c r="Q327" s="128"/>
      <c r="R327" s="278"/>
      <c r="S327" s="128"/>
      <c r="T327" s="278"/>
      <c r="U327" s="128"/>
      <c r="V327" s="278"/>
      <c r="W327" s="128"/>
      <c r="X327" s="278"/>
      <c r="Y327" s="128"/>
      <c r="Z327" s="278"/>
      <c r="AA327" s="128"/>
      <c r="AB327" s="278"/>
      <c r="AC327" s="128"/>
      <c r="AD327" s="278"/>
      <c r="AE327" s="128"/>
      <c r="AF327" s="278"/>
      <c r="AG327" s="128"/>
      <c r="AH327" s="278"/>
      <c r="AI327" s="128"/>
      <c r="AJ327" s="278"/>
      <c r="AK327" s="128"/>
      <c r="AL327" s="278"/>
      <c r="AM327" s="128"/>
      <c r="AN327" s="278"/>
    </row>
    <row r="328" spans="1:40" s="121" customFormat="1" ht="15" customHeight="1">
      <c r="A328" s="122" t="s">
        <v>960</v>
      </c>
      <c r="B328" s="122" t="s">
        <v>710</v>
      </c>
      <c r="C328" s="144">
        <v>175935</v>
      </c>
      <c r="D328" s="124">
        <v>9</v>
      </c>
      <c r="E328" s="128">
        <v>1346</v>
      </c>
      <c r="F328" s="278">
        <v>1446</v>
      </c>
      <c r="G328" s="128">
        <v>3026</v>
      </c>
      <c r="H328" s="278">
        <v>3126</v>
      </c>
      <c r="I328" s="128"/>
      <c r="J328" s="278"/>
      <c r="K328" s="128"/>
      <c r="L328" s="278"/>
      <c r="M328" s="128"/>
      <c r="N328" s="278"/>
      <c r="O328" s="128"/>
      <c r="P328" s="278"/>
      <c r="Q328" s="128"/>
      <c r="R328" s="278"/>
      <c r="S328" s="128"/>
      <c r="T328" s="278"/>
      <c r="U328" s="128"/>
      <c r="V328" s="278"/>
      <c r="W328" s="128"/>
      <c r="X328" s="278"/>
      <c r="Y328" s="128"/>
      <c r="Z328" s="278"/>
      <c r="AA328" s="128"/>
      <c r="AB328" s="278"/>
      <c r="AC328" s="128"/>
      <c r="AD328" s="278"/>
      <c r="AE328" s="128"/>
      <c r="AF328" s="278"/>
      <c r="AG328" s="128"/>
      <c r="AH328" s="278"/>
      <c r="AI328" s="128"/>
      <c r="AJ328" s="278"/>
      <c r="AK328" s="128"/>
      <c r="AL328" s="278"/>
      <c r="AM328" s="128"/>
      <c r="AN328" s="278"/>
    </row>
    <row r="329" spans="1:40" s="121" customFormat="1" ht="15" customHeight="1">
      <c r="A329" s="122" t="s">
        <v>960</v>
      </c>
      <c r="B329" s="122" t="s">
        <v>711</v>
      </c>
      <c r="C329" s="144">
        <v>176008</v>
      </c>
      <c r="D329" s="124">
        <v>9</v>
      </c>
      <c r="E329" s="128">
        <v>1550</v>
      </c>
      <c r="F329" s="278">
        <v>1600</v>
      </c>
      <c r="G329" s="128">
        <v>3158</v>
      </c>
      <c r="H329" s="278">
        <v>3208</v>
      </c>
      <c r="I329" s="128"/>
      <c r="J329" s="278"/>
      <c r="K329" s="128"/>
      <c r="L329" s="278"/>
      <c r="M329" s="128"/>
      <c r="N329" s="278"/>
      <c r="O329" s="128"/>
      <c r="P329" s="278"/>
      <c r="Q329" s="128"/>
      <c r="R329" s="278"/>
      <c r="S329" s="128"/>
      <c r="T329" s="278"/>
      <c r="U329" s="128"/>
      <c r="V329" s="278"/>
      <c r="W329" s="128"/>
      <c r="X329" s="278"/>
      <c r="Y329" s="128"/>
      <c r="Z329" s="278"/>
      <c r="AA329" s="128"/>
      <c r="AB329" s="278"/>
      <c r="AC329" s="128"/>
      <c r="AD329" s="278"/>
      <c r="AE329" s="128"/>
      <c r="AF329" s="278"/>
      <c r="AG329" s="128"/>
      <c r="AH329" s="278"/>
      <c r="AI329" s="128"/>
      <c r="AJ329" s="278"/>
      <c r="AK329" s="128"/>
      <c r="AL329" s="278"/>
      <c r="AM329" s="128"/>
      <c r="AN329" s="278"/>
    </row>
    <row r="330" spans="1:40" s="121" customFormat="1" ht="15" customHeight="1">
      <c r="A330" s="122" t="s">
        <v>960</v>
      </c>
      <c r="B330" s="122" t="s">
        <v>712</v>
      </c>
      <c r="C330" s="144">
        <v>176169</v>
      </c>
      <c r="D330" s="124">
        <v>9</v>
      </c>
      <c r="E330" s="128">
        <v>1596</v>
      </c>
      <c r="F330" s="278">
        <v>1564</v>
      </c>
      <c r="G330" s="128">
        <v>3316</v>
      </c>
      <c r="H330" s="278">
        <v>3284</v>
      </c>
      <c r="I330" s="128"/>
      <c r="J330" s="278"/>
      <c r="K330" s="128"/>
      <c r="L330" s="278"/>
      <c r="M330" s="128"/>
      <c r="N330" s="278"/>
      <c r="O330" s="128"/>
      <c r="P330" s="278"/>
      <c r="Q330" s="128"/>
      <c r="R330" s="278"/>
      <c r="S330" s="128"/>
      <c r="T330" s="278"/>
      <c r="U330" s="128"/>
      <c r="V330" s="278"/>
      <c r="W330" s="128"/>
      <c r="X330" s="278"/>
      <c r="Y330" s="128"/>
      <c r="Z330" s="278"/>
      <c r="AA330" s="128"/>
      <c r="AB330" s="278"/>
      <c r="AC330" s="128"/>
      <c r="AD330" s="278"/>
      <c r="AE330" s="128"/>
      <c r="AF330" s="278"/>
      <c r="AG330" s="128"/>
      <c r="AH330" s="278"/>
      <c r="AI330" s="128"/>
      <c r="AJ330" s="278"/>
      <c r="AK330" s="128"/>
      <c r="AL330" s="278"/>
      <c r="AM330" s="128"/>
      <c r="AN330" s="278"/>
    </row>
    <row r="331" spans="1:40" s="121" customFormat="1" ht="15" customHeight="1">
      <c r="A331" s="122" t="s">
        <v>960</v>
      </c>
      <c r="B331" s="122" t="s">
        <v>922</v>
      </c>
      <c r="C331" s="144">
        <v>176178</v>
      </c>
      <c r="D331" s="124">
        <v>9</v>
      </c>
      <c r="E331" s="128">
        <v>1300</v>
      </c>
      <c r="F331" s="278">
        <v>1300</v>
      </c>
      <c r="G331" s="128">
        <v>3300</v>
      </c>
      <c r="H331" s="278">
        <v>3300</v>
      </c>
      <c r="I331" s="128"/>
      <c r="J331" s="278"/>
      <c r="K331" s="128"/>
      <c r="L331" s="278"/>
      <c r="M331" s="128"/>
      <c r="N331" s="278"/>
      <c r="O331" s="128"/>
      <c r="P331" s="278"/>
      <c r="Q331" s="128"/>
      <c r="R331" s="278"/>
      <c r="S331" s="128"/>
      <c r="T331" s="278"/>
      <c r="U331" s="128"/>
      <c r="V331" s="278"/>
      <c r="W331" s="128"/>
      <c r="X331" s="278"/>
      <c r="Y331" s="128"/>
      <c r="Z331" s="278"/>
      <c r="AA331" s="128"/>
      <c r="AB331" s="278"/>
      <c r="AC331" s="128"/>
      <c r="AD331" s="278"/>
      <c r="AE331" s="128"/>
      <c r="AF331" s="278"/>
      <c r="AG331" s="128"/>
      <c r="AH331" s="278"/>
      <c r="AI331" s="128"/>
      <c r="AJ331" s="278"/>
      <c r="AK331" s="128"/>
      <c r="AL331" s="278"/>
      <c r="AM331" s="128"/>
      <c r="AN331" s="278"/>
    </row>
    <row r="332" spans="1:40" s="149" customFormat="1" ht="15" customHeight="1">
      <c r="A332" s="122" t="s">
        <v>960</v>
      </c>
      <c r="B332" s="122" t="s">
        <v>923</v>
      </c>
      <c r="C332" s="144">
        <v>176239</v>
      </c>
      <c r="D332" s="124">
        <v>9</v>
      </c>
      <c r="E332" s="128">
        <v>1466</v>
      </c>
      <c r="F332" s="278">
        <v>1620</v>
      </c>
      <c r="G332" s="128">
        <v>3864</v>
      </c>
      <c r="H332" s="278">
        <v>4018</v>
      </c>
      <c r="I332" s="128"/>
      <c r="J332" s="278"/>
      <c r="K332" s="128"/>
      <c r="L332" s="278"/>
      <c r="M332" s="128"/>
      <c r="N332" s="278"/>
      <c r="O332" s="128"/>
      <c r="P332" s="278"/>
      <c r="Q332" s="128"/>
      <c r="R332" s="278"/>
      <c r="S332" s="128"/>
      <c r="T332" s="278"/>
      <c r="U332" s="128"/>
      <c r="V332" s="278"/>
      <c r="W332" s="128"/>
      <c r="X332" s="278"/>
      <c r="Y332" s="128"/>
      <c r="Z332" s="278"/>
      <c r="AA332" s="128"/>
      <c r="AB332" s="278"/>
      <c r="AC332" s="128"/>
      <c r="AD332" s="278"/>
      <c r="AE332" s="128"/>
      <c r="AF332" s="278"/>
      <c r="AG332" s="128"/>
      <c r="AH332" s="278"/>
      <c r="AI332" s="128"/>
      <c r="AJ332" s="278"/>
      <c r="AK332" s="128"/>
      <c r="AL332" s="278"/>
      <c r="AM332" s="128"/>
      <c r="AN332" s="278"/>
    </row>
    <row r="333" spans="1:40" s="121" customFormat="1" ht="15" customHeight="1">
      <c r="A333" s="122" t="s">
        <v>960</v>
      </c>
      <c r="B333" s="122" t="s">
        <v>924</v>
      </c>
      <c r="C333" s="144">
        <v>175519</v>
      </c>
      <c r="D333" s="124">
        <v>10</v>
      </c>
      <c r="E333" s="128">
        <v>1600</v>
      </c>
      <c r="F333" s="278">
        <v>1700</v>
      </c>
      <c r="G333" s="128">
        <v>4500</v>
      </c>
      <c r="H333" s="278">
        <v>4600</v>
      </c>
      <c r="I333" s="128"/>
      <c r="J333" s="278"/>
      <c r="K333" s="128"/>
      <c r="L333" s="278"/>
      <c r="M333" s="128"/>
      <c r="N333" s="278"/>
      <c r="O333" s="128"/>
      <c r="P333" s="278"/>
      <c r="Q333" s="128"/>
      <c r="R333" s="278"/>
      <c r="S333" s="128"/>
      <c r="T333" s="278"/>
      <c r="U333" s="128"/>
      <c r="V333" s="278"/>
      <c r="W333" s="128"/>
      <c r="X333" s="278"/>
      <c r="Y333" s="128"/>
      <c r="Z333" s="278"/>
      <c r="AA333" s="128"/>
      <c r="AB333" s="278"/>
      <c r="AC333" s="128"/>
      <c r="AD333" s="278"/>
      <c r="AE333" s="128"/>
      <c r="AF333" s="278"/>
      <c r="AG333" s="128"/>
      <c r="AH333" s="278"/>
      <c r="AI333" s="128"/>
      <c r="AJ333" s="278"/>
      <c r="AK333" s="128"/>
      <c r="AL333" s="278"/>
      <c r="AM333" s="128"/>
      <c r="AN333" s="278"/>
    </row>
    <row r="334" spans="1:40" s="121" customFormat="1" ht="15" customHeight="1">
      <c r="A334" s="122" t="s">
        <v>960</v>
      </c>
      <c r="B334" s="122" t="s">
        <v>926</v>
      </c>
      <c r="C334" s="144">
        <v>176354</v>
      </c>
      <c r="D334" s="124">
        <v>10</v>
      </c>
      <c r="E334" s="128">
        <v>1350</v>
      </c>
      <c r="F334" s="278">
        <v>1600</v>
      </c>
      <c r="G334" s="128">
        <v>3550</v>
      </c>
      <c r="H334" s="278">
        <v>3800</v>
      </c>
      <c r="I334" s="128"/>
      <c r="J334" s="278"/>
      <c r="K334" s="128"/>
      <c r="L334" s="278"/>
      <c r="M334" s="128"/>
      <c r="N334" s="278"/>
      <c r="O334" s="128"/>
      <c r="P334" s="278"/>
      <c r="Q334" s="128"/>
      <c r="R334" s="278"/>
      <c r="S334" s="128"/>
      <c r="T334" s="278"/>
      <c r="U334" s="128"/>
      <c r="V334" s="278"/>
      <c r="W334" s="128"/>
      <c r="X334" s="278"/>
      <c r="Y334" s="128"/>
      <c r="Z334" s="278"/>
      <c r="AA334" s="128"/>
      <c r="AB334" s="278"/>
      <c r="AC334" s="128"/>
      <c r="AD334" s="278"/>
      <c r="AE334" s="128"/>
      <c r="AF334" s="278"/>
      <c r="AG334" s="128"/>
      <c r="AH334" s="278"/>
      <c r="AI334" s="128"/>
      <c r="AJ334" s="278"/>
      <c r="AK334" s="128"/>
      <c r="AL334" s="278"/>
      <c r="AM334" s="128"/>
      <c r="AN334" s="278"/>
    </row>
    <row r="335" spans="1:40" s="121" customFormat="1" ht="15" customHeight="1">
      <c r="A335" s="132" t="s">
        <v>961</v>
      </c>
      <c r="B335" s="132" t="s">
        <v>109</v>
      </c>
      <c r="C335" s="135">
        <v>199193</v>
      </c>
      <c r="D335" s="134">
        <v>1</v>
      </c>
      <c r="E335" s="128">
        <v>3970</v>
      </c>
      <c r="F335" s="146">
        <v>4282</v>
      </c>
      <c r="G335" s="128">
        <v>15818</v>
      </c>
      <c r="H335" s="146">
        <v>16180</v>
      </c>
      <c r="I335" s="128">
        <v>4189</v>
      </c>
      <c r="J335" s="146">
        <v>4501</v>
      </c>
      <c r="K335" s="128">
        <v>16187</v>
      </c>
      <c r="L335" s="146">
        <v>16549</v>
      </c>
      <c r="M335" s="128"/>
      <c r="N335" s="146"/>
      <c r="O335" s="128"/>
      <c r="P335" s="146"/>
      <c r="Q335" s="128"/>
      <c r="R335" s="146"/>
      <c r="S335" s="128"/>
      <c r="T335" s="146"/>
      <c r="U335" s="128"/>
      <c r="V335" s="146"/>
      <c r="W335" s="128"/>
      <c r="X335" s="146"/>
      <c r="Y335" s="128"/>
      <c r="Z335" s="146"/>
      <c r="AA335" s="128"/>
      <c r="AB335" s="146"/>
      <c r="AC335" s="128"/>
      <c r="AD335" s="146"/>
      <c r="AE335" s="128"/>
      <c r="AF335" s="146"/>
      <c r="AG335" s="128"/>
      <c r="AH335" s="146"/>
      <c r="AI335" s="128"/>
      <c r="AJ335" s="146"/>
      <c r="AK335" s="128">
        <v>9133</v>
      </c>
      <c r="AL335" s="146">
        <v>9445</v>
      </c>
      <c r="AM335" s="128">
        <v>31846</v>
      </c>
      <c r="AN335" s="146">
        <v>32208</v>
      </c>
    </row>
    <row r="336" spans="1:40" s="121" customFormat="1" ht="15" customHeight="1">
      <c r="A336" s="132" t="s">
        <v>961</v>
      </c>
      <c r="B336" s="132" t="s">
        <v>110</v>
      </c>
      <c r="C336" s="135">
        <v>199120</v>
      </c>
      <c r="D336" s="134">
        <v>1</v>
      </c>
      <c r="E336" s="128">
        <v>4072</v>
      </c>
      <c r="F336" s="146">
        <v>4451</v>
      </c>
      <c r="G336" s="128">
        <v>15920</v>
      </c>
      <c r="H336" s="146">
        <v>17549</v>
      </c>
      <c r="I336" s="128">
        <v>4269</v>
      </c>
      <c r="J336" s="146">
        <v>4651</v>
      </c>
      <c r="K336" s="128">
        <v>16267</v>
      </c>
      <c r="L336" s="146">
        <v>17899</v>
      </c>
      <c r="M336" s="128">
        <v>10429</v>
      </c>
      <c r="N336" s="146">
        <v>11119</v>
      </c>
      <c r="O336" s="128">
        <v>22397</v>
      </c>
      <c r="P336" s="146">
        <v>23037</v>
      </c>
      <c r="Q336" s="128">
        <v>8495</v>
      </c>
      <c r="R336" s="146">
        <v>8877</v>
      </c>
      <c r="S336" s="128">
        <v>34111</v>
      </c>
      <c r="T336" s="146">
        <v>34243</v>
      </c>
      <c r="U336" s="128">
        <v>8750</v>
      </c>
      <c r="V336" s="146">
        <v>10932</v>
      </c>
      <c r="W336" s="128">
        <v>29482</v>
      </c>
      <c r="X336" s="146">
        <v>29614</v>
      </c>
      <c r="Y336" s="128">
        <v>7038</v>
      </c>
      <c r="Z336" s="146">
        <v>9421</v>
      </c>
      <c r="AA336" s="128">
        <v>23423</v>
      </c>
      <c r="AB336" s="146">
        <v>25556</v>
      </c>
      <c r="AC336" s="128"/>
      <c r="AD336" s="146"/>
      <c r="AE336" s="128"/>
      <c r="AF336" s="146"/>
      <c r="AG336" s="128"/>
      <c r="AH336" s="146"/>
      <c r="AI336" s="128"/>
      <c r="AJ336" s="146"/>
      <c r="AK336" s="128"/>
      <c r="AL336" s="146"/>
      <c r="AM336" s="128"/>
      <c r="AN336" s="146"/>
    </row>
    <row r="337" spans="1:40" s="121" customFormat="1" ht="15" customHeight="1">
      <c r="A337" s="132" t="s">
        <v>961</v>
      </c>
      <c r="B337" s="132" t="s">
        <v>111</v>
      </c>
      <c r="C337" s="135">
        <v>199148</v>
      </c>
      <c r="D337" s="134">
        <v>2</v>
      </c>
      <c r="E337" s="128">
        <v>3124</v>
      </c>
      <c r="F337" s="146">
        <v>3435</v>
      </c>
      <c r="G337" s="128">
        <v>14017</v>
      </c>
      <c r="H337" s="146">
        <v>14403</v>
      </c>
      <c r="I337" s="128">
        <v>3208</v>
      </c>
      <c r="J337" s="146">
        <v>3519</v>
      </c>
      <c r="K337" s="128">
        <v>14183</v>
      </c>
      <c r="L337" s="146">
        <v>14569</v>
      </c>
      <c r="M337" s="128"/>
      <c r="N337" s="146"/>
      <c r="O337" s="128"/>
      <c r="P337" s="146"/>
      <c r="Q337" s="128"/>
      <c r="R337" s="146"/>
      <c r="S337" s="128"/>
      <c r="T337" s="146"/>
      <c r="U337" s="128"/>
      <c r="V337" s="146"/>
      <c r="W337" s="128"/>
      <c r="X337" s="146"/>
      <c r="Y337" s="128"/>
      <c r="Z337" s="146"/>
      <c r="AA337" s="128"/>
      <c r="AB337" s="146"/>
      <c r="AC337" s="128"/>
      <c r="AD337" s="146"/>
      <c r="AE337" s="128"/>
      <c r="AF337" s="146"/>
      <c r="AG337" s="128"/>
      <c r="AH337" s="146"/>
      <c r="AI337" s="128"/>
      <c r="AJ337" s="146"/>
      <c r="AK337" s="128"/>
      <c r="AL337" s="146"/>
      <c r="AM337" s="128"/>
      <c r="AN337" s="146"/>
    </row>
    <row r="338" spans="1:40" s="121" customFormat="1" ht="15" customHeight="1">
      <c r="A338" s="132" t="s">
        <v>961</v>
      </c>
      <c r="B338" s="132" t="s">
        <v>112</v>
      </c>
      <c r="C338" s="135">
        <v>197869</v>
      </c>
      <c r="D338" s="134">
        <v>3</v>
      </c>
      <c r="E338" s="128">
        <v>2927</v>
      </c>
      <c r="F338" s="146">
        <v>3199</v>
      </c>
      <c r="G338" s="128">
        <v>12294</v>
      </c>
      <c r="H338" s="146">
        <v>12641</v>
      </c>
      <c r="I338" s="128">
        <v>3014</v>
      </c>
      <c r="J338" s="146">
        <v>3271</v>
      </c>
      <c r="K338" s="128">
        <v>12522</v>
      </c>
      <c r="L338" s="146">
        <v>12854</v>
      </c>
      <c r="M338" s="128"/>
      <c r="N338" s="146"/>
      <c r="O338" s="128"/>
      <c r="P338" s="146"/>
      <c r="Q338" s="128"/>
      <c r="R338" s="146"/>
      <c r="S338" s="128"/>
      <c r="T338" s="146"/>
      <c r="U338" s="128"/>
      <c r="V338" s="146"/>
      <c r="W338" s="128"/>
      <c r="X338" s="146"/>
      <c r="Y338" s="128"/>
      <c r="Z338" s="146"/>
      <c r="AA338" s="128"/>
      <c r="AB338" s="146"/>
      <c r="AC338" s="128"/>
      <c r="AD338" s="146"/>
      <c r="AE338" s="128"/>
      <c r="AF338" s="146"/>
      <c r="AG338" s="128"/>
      <c r="AH338" s="146"/>
      <c r="AI338" s="128"/>
      <c r="AJ338" s="146"/>
      <c r="AK338" s="128"/>
      <c r="AL338" s="146"/>
      <c r="AM338" s="128"/>
      <c r="AN338" s="146"/>
    </row>
    <row r="339" spans="1:40" s="121" customFormat="1" ht="15" customHeight="1">
      <c r="A339" s="132" t="s">
        <v>961</v>
      </c>
      <c r="B339" s="132" t="s">
        <v>113</v>
      </c>
      <c r="C339" s="135">
        <v>198464</v>
      </c>
      <c r="D339" s="134">
        <v>3</v>
      </c>
      <c r="E339" s="128">
        <v>3131</v>
      </c>
      <c r="F339" s="146">
        <v>3454</v>
      </c>
      <c r="G339" s="128">
        <v>13270</v>
      </c>
      <c r="H339" s="146">
        <v>13668</v>
      </c>
      <c r="I339" s="128">
        <v>3212</v>
      </c>
      <c r="J339" s="146">
        <v>3535</v>
      </c>
      <c r="K339" s="128">
        <v>13453</v>
      </c>
      <c r="L339" s="146">
        <v>13851</v>
      </c>
      <c r="M339" s="128"/>
      <c r="N339" s="146"/>
      <c r="O339" s="128"/>
      <c r="P339" s="146"/>
      <c r="Q339" s="128">
        <v>4929</v>
      </c>
      <c r="R339" s="146">
        <v>6495</v>
      </c>
      <c r="S339" s="128">
        <v>29844</v>
      </c>
      <c r="T339" s="146">
        <v>31485</v>
      </c>
      <c r="U339" s="128"/>
      <c r="V339" s="146"/>
      <c r="W339" s="128"/>
      <c r="X339" s="146"/>
      <c r="Y339" s="128"/>
      <c r="Z339" s="146"/>
      <c r="AA339" s="128"/>
      <c r="AB339" s="146"/>
      <c r="AC339" s="128"/>
      <c r="AD339" s="146"/>
      <c r="AE339" s="128"/>
      <c r="AF339" s="146"/>
      <c r="AG339" s="128"/>
      <c r="AH339" s="146"/>
      <c r="AI339" s="128"/>
      <c r="AJ339" s="146"/>
      <c r="AK339" s="128"/>
      <c r="AL339" s="146"/>
      <c r="AM339" s="128"/>
      <c r="AN339" s="146"/>
    </row>
    <row r="340" spans="1:40" s="121" customFormat="1" ht="15" customHeight="1">
      <c r="A340" s="132" t="s">
        <v>961</v>
      </c>
      <c r="B340" s="132" t="s">
        <v>114</v>
      </c>
      <c r="C340" s="135">
        <v>199102</v>
      </c>
      <c r="D340" s="134">
        <v>3</v>
      </c>
      <c r="E340" s="128">
        <v>2722</v>
      </c>
      <c r="F340" s="146">
        <v>3066</v>
      </c>
      <c r="G340" s="128">
        <v>12089</v>
      </c>
      <c r="H340" s="146">
        <v>12508</v>
      </c>
      <c r="I340" s="128">
        <v>2794</v>
      </c>
      <c r="J340" s="146">
        <v>3138</v>
      </c>
      <c r="K340" s="128">
        <v>12304</v>
      </c>
      <c r="L340" s="146">
        <v>12723</v>
      </c>
      <c r="M340" s="128"/>
      <c r="N340" s="146"/>
      <c r="O340" s="128"/>
      <c r="P340" s="146"/>
      <c r="Q340" s="128"/>
      <c r="R340" s="146"/>
      <c r="S340" s="128"/>
      <c r="T340" s="146"/>
      <c r="U340" s="128"/>
      <c r="V340" s="146"/>
      <c r="W340" s="128"/>
      <c r="X340" s="146"/>
      <c r="Y340" s="128"/>
      <c r="Z340" s="146"/>
      <c r="AA340" s="128"/>
      <c r="AB340" s="146"/>
      <c r="AC340" s="128"/>
      <c r="AD340" s="146"/>
      <c r="AE340" s="128"/>
      <c r="AF340" s="146"/>
      <c r="AG340" s="128"/>
      <c r="AH340" s="146"/>
      <c r="AI340" s="128"/>
      <c r="AJ340" s="146"/>
      <c r="AK340" s="128"/>
      <c r="AL340" s="146"/>
      <c r="AM340" s="128"/>
      <c r="AN340" s="146"/>
    </row>
    <row r="341" spans="1:40" s="121" customFormat="1" ht="15" customHeight="1">
      <c r="A341" s="132" t="s">
        <v>961</v>
      </c>
      <c r="B341" s="132" t="s">
        <v>115</v>
      </c>
      <c r="C341" s="135">
        <v>199157</v>
      </c>
      <c r="D341" s="134">
        <v>3</v>
      </c>
      <c r="E341" s="128">
        <v>2802</v>
      </c>
      <c r="F341" s="146">
        <v>3042</v>
      </c>
      <c r="G341" s="128">
        <v>12171</v>
      </c>
      <c r="H341" s="146">
        <v>12486</v>
      </c>
      <c r="I341" s="128">
        <v>2950</v>
      </c>
      <c r="J341" s="146">
        <v>3190</v>
      </c>
      <c r="K341" s="128">
        <v>12456</v>
      </c>
      <c r="L341" s="146">
        <v>12771</v>
      </c>
      <c r="M341" s="128">
        <v>3169</v>
      </c>
      <c r="N341" s="146">
        <v>3409</v>
      </c>
      <c r="O341" s="128">
        <v>14954</v>
      </c>
      <c r="P341" s="146">
        <v>15269</v>
      </c>
      <c r="Q341" s="128"/>
      <c r="R341" s="146"/>
      <c r="S341" s="128"/>
      <c r="T341" s="146"/>
      <c r="U341" s="128"/>
      <c r="V341" s="146"/>
      <c r="W341" s="128"/>
      <c r="X341" s="146"/>
      <c r="Y341" s="128"/>
      <c r="Z341" s="146"/>
      <c r="AA341" s="128"/>
      <c r="AB341" s="146"/>
      <c r="AC341" s="128"/>
      <c r="AD341" s="146"/>
      <c r="AE341" s="128"/>
      <c r="AF341" s="146"/>
      <c r="AG341" s="128"/>
      <c r="AH341" s="146"/>
      <c r="AI341" s="128"/>
      <c r="AJ341" s="146"/>
      <c r="AK341" s="128"/>
      <c r="AL341" s="146"/>
      <c r="AM341" s="128"/>
      <c r="AN341" s="146"/>
    </row>
    <row r="342" spans="1:40" s="121" customFormat="1" ht="15" customHeight="1">
      <c r="A342" s="132" t="s">
        <v>961</v>
      </c>
      <c r="B342" s="132" t="s">
        <v>116</v>
      </c>
      <c r="C342" s="135">
        <v>199139</v>
      </c>
      <c r="D342" s="134">
        <v>3</v>
      </c>
      <c r="E342" s="128">
        <v>3105</v>
      </c>
      <c r="F342" s="146">
        <v>3473</v>
      </c>
      <c r="G342" s="128">
        <v>13142</v>
      </c>
      <c r="H342" s="146">
        <v>13585</v>
      </c>
      <c r="I342" s="128">
        <v>3180</v>
      </c>
      <c r="J342" s="146">
        <v>3548</v>
      </c>
      <c r="K342" s="128">
        <v>13312</v>
      </c>
      <c r="L342" s="146">
        <v>13755</v>
      </c>
      <c r="M342" s="128"/>
      <c r="N342" s="146"/>
      <c r="O342" s="128"/>
      <c r="P342" s="146"/>
      <c r="Q342" s="128"/>
      <c r="R342" s="146"/>
      <c r="S342" s="128"/>
      <c r="T342" s="146"/>
      <c r="U342" s="128"/>
      <c r="V342" s="146"/>
      <c r="W342" s="128"/>
      <c r="X342" s="146"/>
      <c r="Y342" s="128"/>
      <c r="Z342" s="146"/>
      <c r="AA342" s="128"/>
      <c r="AB342" s="146"/>
      <c r="AC342" s="128"/>
      <c r="AD342" s="146"/>
      <c r="AE342" s="128"/>
      <c r="AF342" s="146"/>
      <c r="AG342" s="128"/>
      <c r="AH342" s="146"/>
      <c r="AI342" s="128"/>
      <c r="AJ342" s="146"/>
      <c r="AK342" s="128"/>
      <c r="AL342" s="146"/>
      <c r="AM342" s="128"/>
      <c r="AN342" s="146"/>
    </row>
    <row r="343" spans="1:40" s="121" customFormat="1" ht="15" customHeight="1">
      <c r="A343" s="132" t="s">
        <v>961</v>
      </c>
      <c r="B343" s="132" t="s">
        <v>119</v>
      </c>
      <c r="C343" s="135">
        <v>199218</v>
      </c>
      <c r="D343" s="136">
        <v>3</v>
      </c>
      <c r="E343" s="128">
        <v>3362</v>
      </c>
      <c r="F343" s="146">
        <v>3626</v>
      </c>
      <c r="G343" s="128">
        <v>12937</v>
      </c>
      <c r="H343" s="146">
        <v>13336</v>
      </c>
      <c r="I343" s="128">
        <v>3438</v>
      </c>
      <c r="J343" s="146">
        <v>3702</v>
      </c>
      <c r="K343" s="128">
        <v>13140</v>
      </c>
      <c r="L343" s="146">
        <v>13539</v>
      </c>
      <c r="M343" s="128"/>
      <c r="N343" s="146"/>
      <c r="O343" s="128"/>
      <c r="P343" s="146"/>
      <c r="Q343" s="128"/>
      <c r="R343" s="146"/>
      <c r="S343" s="128"/>
      <c r="T343" s="146"/>
      <c r="U343" s="128"/>
      <c r="V343" s="146"/>
      <c r="W343" s="128"/>
      <c r="X343" s="146"/>
      <c r="Y343" s="128"/>
      <c r="Z343" s="146"/>
      <c r="AA343" s="128"/>
      <c r="AB343" s="146"/>
      <c r="AC343" s="128"/>
      <c r="AD343" s="146"/>
      <c r="AE343" s="128"/>
      <c r="AF343" s="146"/>
      <c r="AG343" s="128"/>
      <c r="AH343" s="146"/>
      <c r="AI343" s="128"/>
      <c r="AJ343" s="146"/>
      <c r="AK343" s="128"/>
      <c r="AL343" s="146"/>
      <c r="AM343" s="128"/>
      <c r="AN343" s="146"/>
    </row>
    <row r="344" spans="1:40" s="121" customFormat="1" ht="15" customHeight="1">
      <c r="A344" s="132" t="s">
        <v>961</v>
      </c>
      <c r="B344" s="132" t="s">
        <v>117</v>
      </c>
      <c r="C344" s="135">
        <v>200004</v>
      </c>
      <c r="D344" s="134">
        <v>3</v>
      </c>
      <c r="E344" s="128">
        <v>2806</v>
      </c>
      <c r="F344" s="146">
        <v>3273</v>
      </c>
      <c r="G344" s="128">
        <v>12167</v>
      </c>
      <c r="H344" s="146">
        <v>12709</v>
      </c>
      <c r="I344" s="128">
        <v>2878</v>
      </c>
      <c r="J344" s="146">
        <v>3345</v>
      </c>
      <c r="K344" s="128">
        <v>12388</v>
      </c>
      <c r="L344" s="146">
        <v>12930</v>
      </c>
      <c r="M344" s="128"/>
      <c r="N344" s="146"/>
      <c r="O344" s="128"/>
      <c r="P344" s="146"/>
      <c r="Q344" s="128"/>
      <c r="R344" s="146"/>
      <c r="S344" s="128"/>
      <c r="T344" s="146"/>
      <c r="U344" s="128"/>
      <c r="V344" s="146"/>
      <c r="W344" s="128"/>
      <c r="X344" s="146"/>
      <c r="Y344" s="128"/>
      <c r="Z344" s="146"/>
      <c r="AA344" s="128"/>
      <c r="AB344" s="146"/>
      <c r="AC344" s="128"/>
      <c r="AD344" s="146"/>
      <c r="AE344" s="128"/>
      <c r="AF344" s="146"/>
      <c r="AG344" s="128"/>
      <c r="AH344" s="146"/>
      <c r="AI344" s="128"/>
      <c r="AJ344" s="146"/>
      <c r="AK344" s="128"/>
      <c r="AL344" s="146"/>
      <c r="AM344" s="128"/>
      <c r="AN344" s="146"/>
    </row>
    <row r="345" spans="1:40" s="121" customFormat="1" ht="15" customHeight="1">
      <c r="A345" s="132" t="s">
        <v>961</v>
      </c>
      <c r="B345" s="132" t="s">
        <v>118</v>
      </c>
      <c r="C345" s="135">
        <v>198543</v>
      </c>
      <c r="D345" s="134">
        <v>4</v>
      </c>
      <c r="E345" s="128">
        <v>2237</v>
      </c>
      <c r="F345" s="146">
        <v>2521</v>
      </c>
      <c r="G345" s="128">
        <v>11598</v>
      </c>
      <c r="H345" s="146">
        <v>11957</v>
      </c>
      <c r="I345" s="128">
        <v>2309</v>
      </c>
      <c r="J345" s="146">
        <v>2593</v>
      </c>
      <c r="K345" s="128">
        <v>11824</v>
      </c>
      <c r="L345" s="146">
        <v>12183</v>
      </c>
      <c r="M345" s="128"/>
      <c r="N345" s="146"/>
      <c r="O345" s="128"/>
      <c r="P345" s="146"/>
      <c r="Q345" s="128"/>
      <c r="R345" s="146"/>
      <c r="S345" s="128"/>
      <c r="T345" s="146"/>
      <c r="U345" s="128"/>
      <c r="V345" s="146"/>
      <c r="W345" s="128"/>
      <c r="X345" s="146"/>
      <c r="Y345" s="128"/>
      <c r="Z345" s="146"/>
      <c r="AA345" s="128"/>
      <c r="AB345" s="146"/>
      <c r="AC345" s="128"/>
      <c r="AD345" s="146"/>
      <c r="AE345" s="128"/>
      <c r="AF345" s="146"/>
      <c r="AG345" s="128"/>
      <c r="AH345" s="146"/>
      <c r="AI345" s="128"/>
      <c r="AJ345" s="146"/>
      <c r="AK345" s="128"/>
      <c r="AL345" s="146"/>
      <c r="AM345" s="128"/>
      <c r="AN345" s="146"/>
    </row>
    <row r="346" spans="1:40" s="121" customFormat="1" ht="15" customHeight="1">
      <c r="A346" s="132" t="s">
        <v>961</v>
      </c>
      <c r="B346" s="132" t="s">
        <v>120</v>
      </c>
      <c r="C346" s="135">
        <v>199281</v>
      </c>
      <c r="D346" s="134">
        <v>5</v>
      </c>
      <c r="E346" s="128">
        <v>2565</v>
      </c>
      <c r="F346" s="146">
        <v>2825</v>
      </c>
      <c r="G346" s="128">
        <v>11930</v>
      </c>
      <c r="H346" s="146">
        <v>12265</v>
      </c>
      <c r="I346" s="128">
        <v>2362</v>
      </c>
      <c r="J346" s="146">
        <v>2613</v>
      </c>
      <c r="K346" s="128">
        <v>11874</v>
      </c>
      <c r="L346" s="146">
        <v>12200</v>
      </c>
      <c r="M346" s="128"/>
      <c r="N346" s="146"/>
      <c r="O346" s="128"/>
      <c r="P346" s="146"/>
      <c r="Q346" s="128"/>
      <c r="R346" s="146"/>
      <c r="S346" s="128"/>
      <c r="T346" s="146"/>
      <c r="U346" s="128"/>
      <c r="V346" s="146"/>
      <c r="W346" s="128"/>
      <c r="X346" s="146"/>
      <c r="Y346" s="128"/>
      <c r="Z346" s="146"/>
      <c r="AA346" s="128"/>
      <c r="AB346" s="146"/>
      <c r="AC346" s="128"/>
      <c r="AD346" s="146"/>
      <c r="AE346" s="128"/>
      <c r="AF346" s="146"/>
      <c r="AG346" s="128"/>
      <c r="AH346" s="146"/>
      <c r="AI346" s="128"/>
      <c r="AJ346" s="146"/>
      <c r="AK346" s="128"/>
      <c r="AL346" s="146"/>
      <c r="AM346" s="128"/>
      <c r="AN346" s="146"/>
    </row>
    <row r="347" spans="1:40" s="121" customFormat="1" ht="15" customHeight="1">
      <c r="A347" s="132" t="s">
        <v>961</v>
      </c>
      <c r="B347" s="132" t="s">
        <v>121</v>
      </c>
      <c r="C347" s="135">
        <v>198507</v>
      </c>
      <c r="D347" s="134">
        <v>6</v>
      </c>
      <c r="E347" s="128">
        <v>2176</v>
      </c>
      <c r="F347" s="146">
        <v>2475</v>
      </c>
      <c r="G347" s="128">
        <v>10440</v>
      </c>
      <c r="H347" s="146">
        <v>10814</v>
      </c>
      <c r="I347" s="128">
        <v>2235</v>
      </c>
      <c r="J347" s="146">
        <v>2534</v>
      </c>
      <c r="K347" s="128">
        <v>10653</v>
      </c>
      <c r="L347" s="146">
        <v>11027</v>
      </c>
      <c r="M347" s="128"/>
      <c r="N347" s="146"/>
      <c r="O347" s="128"/>
      <c r="P347" s="146"/>
      <c r="Q347" s="128"/>
      <c r="R347" s="146"/>
      <c r="S347" s="128"/>
      <c r="T347" s="146"/>
      <c r="U347" s="128"/>
      <c r="V347" s="146"/>
      <c r="W347" s="128"/>
      <c r="X347" s="146"/>
      <c r="Y347" s="128"/>
      <c r="Z347" s="146"/>
      <c r="AA347" s="128"/>
      <c r="AB347" s="146"/>
      <c r="AC347" s="128"/>
      <c r="AD347" s="146"/>
      <c r="AE347" s="128"/>
      <c r="AF347" s="146"/>
      <c r="AG347" s="128"/>
      <c r="AH347" s="146"/>
      <c r="AI347" s="128"/>
      <c r="AJ347" s="146"/>
      <c r="AK347" s="128"/>
      <c r="AL347" s="146"/>
      <c r="AM347" s="128"/>
      <c r="AN347" s="146"/>
    </row>
    <row r="348" spans="1:40" s="121" customFormat="1" ht="15" customHeight="1">
      <c r="A348" s="132" t="s">
        <v>961</v>
      </c>
      <c r="B348" s="132" t="s">
        <v>122</v>
      </c>
      <c r="C348" s="135">
        <v>199111</v>
      </c>
      <c r="D348" s="134">
        <v>6</v>
      </c>
      <c r="E348" s="128">
        <v>3031</v>
      </c>
      <c r="F348" s="146">
        <v>3323</v>
      </c>
      <c r="G348" s="128">
        <v>11856</v>
      </c>
      <c r="H348" s="146">
        <v>12523</v>
      </c>
      <c r="I348" s="128">
        <v>3089</v>
      </c>
      <c r="J348" s="146">
        <v>3381</v>
      </c>
      <c r="K348" s="128">
        <v>12028</v>
      </c>
      <c r="L348" s="146">
        <v>12695</v>
      </c>
      <c r="M348" s="128"/>
      <c r="N348" s="146"/>
      <c r="O348" s="128"/>
      <c r="P348" s="146"/>
      <c r="Q348" s="128"/>
      <c r="R348" s="146"/>
      <c r="S348" s="128"/>
      <c r="T348" s="146"/>
      <c r="U348" s="128"/>
      <c r="V348" s="146"/>
      <c r="W348" s="128"/>
      <c r="X348" s="146"/>
      <c r="Y348" s="128"/>
      <c r="Z348" s="146"/>
      <c r="AA348" s="128"/>
      <c r="AB348" s="146"/>
      <c r="AC348" s="128"/>
      <c r="AD348" s="146"/>
      <c r="AE348" s="128"/>
      <c r="AF348" s="146"/>
      <c r="AG348" s="128"/>
      <c r="AH348" s="146"/>
      <c r="AI348" s="128"/>
      <c r="AJ348" s="146"/>
      <c r="AK348" s="128"/>
      <c r="AL348" s="146"/>
      <c r="AM348" s="128"/>
      <c r="AN348" s="146"/>
    </row>
    <row r="349" spans="1:40" s="121" customFormat="1" ht="15" customHeight="1">
      <c r="A349" s="132" t="s">
        <v>961</v>
      </c>
      <c r="B349" s="132" t="s">
        <v>123</v>
      </c>
      <c r="C349" s="135">
        <v>199999</v>
      </c>
      <c r="D349" s="134">
        <v>6</v>
      </c>
      <c r="E349" s="128">
        <v>2394</v>
      </c>
      <c r="F349" s="146">
        <v>2675</v>
      </c>
      <c r="G349" s="128">
        <v>10659</v>
      </c>
      <c r="H349" s="146">
        <v>11015</v>
      </c>
      <c r="I349" s="128">
        <v>2453</v>
      </c>
      <c r="J349" s="146">
        <v>2734</v>
      </c>
      <c r="K349" s="128">
        <v>10871</v>
      </c>
      <c r="L349" s="146">
        <v>11227</v>
      </c>
      <c r="M349" s="128"/>
      <c r="N349" s="146"/>
      <c r="O349" s="128"/>
      <c r="P349" s="146"/>
      <c r="Q349" s="128"/>
      <c r="R349" s="146"/>
      <c r="S349" s="128"/>
      <c r="T349" s="146"/>
      <c r="U349" s="128"/>
      <c r="V349" s="146"/>
      <c r="W349" s="128"/>
      <c r="X349" s="146"/>
      <c r="Y349" s="128"/>
      <c r="Z349" s="146"/>
      <c r="AA349" s="128"/>
      <c r="AB349" s="146"/>
      <c r="AC349" s="128"/>
      <c r="AD349" s="146"/>
      <c r="AE349" s="128"/>
      <c r="AF349" s="146"/>
      <c r="AG349" s="128"/>
      <c r="AH349" s="146"/>
      <c r="AI349" s="128"/>
      <c r="AJ349" s="146"/>
      <c r="AK349" s="128"/>
      <c r="AL349" s="146"/>
      <c r="AM349" s="128"/>
      <c r="AN349" s="146"/>
    </row>
    <row r="350" spans="1:40" s="121" customFormat="1" ht="15" customHeight="1">
      <c r="A350" s="132" t="s">
        <v>961</v>
      </c>
      <c r="B350" s="132" t="s">
        <v>124</v>
      </c>
      <c r="C350" s="135">
        <v>199184</v>
      </c>
      <c r="D350" s="134">
        <v>15</v>
      </c>
      <c r="E350" s="128">
        <v>3665</v>
      </c>
      <c r="F350" s="146">
        <v>4307</v>
      </c>
      <c r="G350" s="128">
        <v>14795</v>
      </c>
      <c r="H350" s="146">
        <v>15587</v>
      </c>
      <c r="I350" s="128">
        <v>3777</v>
      </c>
      <c r="J350" s="146">
        <v>4719</v>
      </c>
      <c r="K350" s="128">
        <v>14961</v>
      </c>
      <c r="L350" s="146">
        <v>16153</v>
      </c>
      <c r="M350" s="128"/>
      <c r="N350" s="146"/>
      <c r="O350" s="128"/>
      <c r="P350" s="146"/>
      <c r="Q350" s="128"/>
      <c r="R350" s="146"/>
      <c r="S350" s="128"/>
      <c r="T350" s="146"/>
      <c r="U350" s="128"/>
      <c r="V350" s="146"/>
      <c r="W350" s="128"/>
      <c r="X350" s="146"/>
      <c r="Y350" s="128"/>
      <c r="Z350" s="146"/>
      <c r="AA350" s="128"/>
      <c r="AB350" s="146"/>
      <c r="AC350" s="128"/>
      <c r="AD350" s="146"/>
      <c r="AE350" s="128"/>
      <c r="AF350" s="146"/>
      <c r="AG350" s="128"/>
      <c r="AH350" s="146"/>
      <c r="AI350" s="128"/>
      <c r="AJ350" s="146"/>
      <c r="AK350" s="128"/>
      <c r="AL350" s="146"/>
      <c r="AM350" s="128"/>
      <c r="AN350" s="146"/>
    </row>
    <row r="351" spans="1:40" s="121" customFormat="1" ht="15" customHeight="1">
      <c r="A351" s="129" t="s">
        <v>961</v>
      </c>
      <c r="B351" s="129" t="s">
        <v>927</v>
      </c>
      <c r="C351" s="145">
        <v>197887</v>
      </c>
      <c r="D351" s="131">
        <v>8</v>
      </c>
      <c r="E351" s="128">
        <v>1160</v>
      </c>
      <c r="F351" s="172">
        <v>1241</v>
      </c>
      <c r="G351" s="128">
        <v>6328</v>
      </c>
      <c r="H351" s="172">
        <v>6752</v>
      </c>
      <c r="I351" s="128"/>
      <c r="J351" s="172"/>
      <c r="K351" s="128"/>
      <c r="L351" s="172"/>
      <c r="M351" s="128"/>
      <c r="N351" s="172"/>
      <c r="O351" s="128"/>
      <c r="P351" s="172"/>
      <c r="Q351" s="128"/>
      <c r="R351" s="172"/>
      <c r="S351" s="128"/>
      <c r="T351" s="172"/>
      <c r="U351" s="128"/>
      <c r="V351" s="172"/>
      <c r="W351" s="128"/>
      <c r="X351" s="172"/>
      <c r="Y351" s="128"/>
      <c r="Z351" s="172"/>
      <c r="AA351" s="128"/>
      <c r="AB351" s="172"/>
      <c r="AC351" s="128"/>
      <c r="AD351" s="172"/>
      <c r="AE351" s="128"/>
      <c r="AF351" s="172"/>
      <c r="AG351" s="128"/>
      <c r="AH351" s="172"/>
      <c r="AI351" s="128"/>
      <c r="AJ351" s="146"/>
      <c r="AK351" s="128"/>
      <c r="AL351" s="172"/>
      <c r="AM351" s="128"/>
      <c r="AN351" s="172"/>
    </row>
    <row r="352" spans="1:40" s="121" customFormat="1" ht="15" customHeight="1">
      <c r="A352" s="129" t="s">
        <v>961</v>
      </c>
      <c r="B352" s="129" t="s">
        <v>928</v>
      </c>
      <c r="C352" s="145">
        <v>198154</v>
      </c>
      <c r="D352" s="131">
        <v>8</v>
      </c>
      <c r="E352" s="128">
        <v>1174</v>
      </c>
      <c r="F352" s="172">
        <v>1286</v>
      </c>
      <c r="G352" s="128">
        <v>6342</v>
      </c>
      <c r="H352" s="172">
        <v>6822</v>
      </c>
      <c r="I352" s="128"/>
      <c r="J352" s="172"/>
      <c r="K352" s="128"/>
      <c r="L352" s="172"/>
      <c r="M352" s="128"/>
      <c r="N352" s="172"/>
      <c r="O352" s="128"/>
      <c r="P352" s="172"/>
      <c r="Q352" s="128"/>
      <c r="R352" s="172"/>
      <c r="S352" s="128"/>
      <c r="T352" s="172"/>
      <c r="U352" s="128"/>
      <c r="V352" s="172"/>
      <c r="W352" s="128"/>
      <c r="X352" s="172"/>
      <c r="Y352" s="128"/>
      <c r="Z352" s="172"/>
      <c r="AA352" s="128"/>
      <c r="AB352" s="172"/>
      <c r="AC352" s="128"/>
      <c r="AD352" s="172"/>
      <c r="AE352" s="128"/>
      <c r="AF352" s="172"/>
      <c r="AG352" s="128"/>
      <c r="AH352" s="172"/>
      <c r="AI352" s="128"/>
      <c r="AJ352" s="146"/>
      <c r="AK352" s="128"/>
      <c r="AL352" s="172"/>
      <c r="AM352" s="128"/>
      <c r="AN352" s="172"/>
    </row>
    <row r="353" spans="1:40" s="121" customFormat="1" ht="15" customHeight="1">
      <c r="A353" s="129" t="s">
        <v>961</v>
      </c>
      <c r="B353" s="129" t="s">
        <v>929</v>
      </c>
      <c r="C353" s="145">
        <v>198251</v>
      </c>
      <c r="D353" s="131">
        <v>8</v>
      </c>
      <c r="E353" s="128">
        <v>1172</v>
      </c>
      <c r="F353" s="172">
        <v>1216</v>
      </c>
      <c r="G353" s="128">
        <v>6340</v>
      </c>
      <c r="H353" s="172">
        <v>6752</v>
      </c>
      <c r="I353" s="128"/>
      <c r="J353" s="172"/>
      <c r="K353" s="128"/>
      <c r="L353" s="172"/>
      <c r="M353" s="128"/>
      <c r="N353" s="172"/>
      <c r="O353" s="128"/>
      <c r="P353" s="172"/>
      <c r="Q353" s="128"/>
      <c r="R353" s="172"/>
      <c r="S353" s="128"/>
      <c r="T353" s="172"/>
      <c r="U353" s="128"/>
      <c r="V353" s="172"/>
      <c r="W353" s="128"/>
      <c r="X353" s="172"/>
      <c r="Y353" s="128"/>
      <c r="Z353" s="172"/>
      <c r="AA353" s="128"/>
      <c r="AB353" s="172"/>
      <c r="AC353" s="128"/>
      <c r="AD353" s="172"/>
      <c r="AE353" s="128"/>
      <c r="AF353" s="172"/>
      <c r="AG353" s="128"/>
      <c r="AH353" s="172"/>
      <c r="AI353" s="128"/>
      <c r="AJ353" s="146"/>
      <c r="AK353" s="128"/>
      <c r="AL353" s="172"/>
      <c r="AM353" s="128"/>
      <c r="AN353" s="172"/>
    </row>
    <row r="354" spans="1:40" s="121" customFormat="1" ht="15" customHeight="1">
      <c r="A354" s="129" t="s">
        <v>961</v>
      </c>
      <c r="B354" s="129" t="s">
        <v>930</v>
      </c>
      <c r="C354" s="145">
        <v>198260</v>
      </c>
      <c r="D354" s="131">
        <v>8</v>
      </c>
      <c r="E354" s="128">
        <v>1174</v>
      </c>
      <c r="F354" s="172">
        <v>1386</v>
      </c>
      <c r="G354" s="128">
        <v>6342</v>
      </c>
      <c r="H354" s="172">
        <v>6922</v>
      </c>
      <c r="I354" s="128"/>
      <c r="J354" s="172"/>
      <c r="K354" s="128"/>
      <c r="L354" s="172"/>
      <c r="M354" s="128"/>
      <c r="N354" s="172"/>
      <c r="O354" s="128"/>
      <c r="P354" s="172"/>
      <c r="Q354" s="128"/>
      <c r="R354" s="172"/>
      <c r="S354" s="128"/>
      <c r="T354" s="172"/>
      <c r="U354" s="128"/>
      <c r="V354" s="172"/>
      <c r="W354" s="128"/>
      <c r="X354" s="172"/>
      <c r="Y354" s="128"/>
      <c r="Z354" s="172"/>
      <c r="AA354" s="128"/>
      <c r="AB354" s="172"/>
      <c r="AC354" s="128"/>
      <c r="AD354" s="172"/>
      <c r="AE354" s="128"/>
      <c r="AF354" s="172"/>
      <c r="AG354" s="128"/>
      <c r="AH354" s="172"/>
      <c r="AI354" s="128"/>
      <c r="AJ354" s="146"/>
      <c r="AK354" s="128"/>
      <c r="AL354" s="172"/>
      <c r="AM354" s="128"/>
      <c r="AN354" s="172"/>
    </row>
    <row r="355" spans="1:40" s="121" customFormat="1" ht="15" customHeight="1">
      <c r="A355" s="129" t="s">
        <v>961</v>
      </c>
      <c r="B355" s="129" t="s">
        <v>931</v>
      </c>
      <c r="C355" s="145">
        <v>198534</v>
      </c>
      <c r="D355" s="131">
        <v>8</v>
      </c>
      <c r="E355" s="128">
        <v>1164</v>
      </c>
      <c r="F355" s="172">
        <v>1216</v>
      </c>
      <c r="G355" s="128">
        <v>6332</v>
      </c>
      <c r="H355" s="172">
        <v>6752</v>
      </c>
      <c r="I355" s="128"/>
      <c r="J355" s="172"/>
      <c r="K355" s="128"/>
      <c r="L355" s="172"/>
      <c r="M355" s="128"/>
      <c r="N355" s="172"/>
      <c r="O355" s="128"/>
      <c r="P355" s="172"/>
      <c r="Q355" s="128"/>
      <c r="R355" s="172"/>
      <c r="S355" s="128"/>
      <c r="T355" s="172"/>
      <c r="U355" s="128"/>
      <c r="V355" s="172"/>
      <c r="W355" s="128"/>
      <c r="X355" s="172"/>
      <c r="Y355" s="128"/>
      <c r="Z355" s="172"/>
      <c r="AA355" s="128"/>
      <c r="AB355" s="172"/>
      <c r="AC355" s="128"/>
      <c r="AD355" s="172"/>
      <c r="AE355" s="128"/>
      <c r="AF355" s="172"/>
      <c r="AG355" s="128"/>
      <c r="AH355" s="172"/>
      <c r="AI355" s="128"/>
      <c r="AJ355" s="146"/>
      <c r="AK355" s="128"/>
      <c r="AL355" s="172"/>
      <c r="AM355" s="128"/>
      <c r="AN355" s="172"/>
    </row>
    <row r="356" spans="1:40" s="121" customFormat="1" ht="15" customHeight="1">
      <c r="A356" s="129" t="s">
        <v>961</v>
      </c>
      <c r="B356" s="129" t="s">
        <v>932</v>
      </c>
      <c r="C356" s="145">
        <v>198552</v>
      </c>
      <c r="D356" s="131">
        <v>8</v>
      </c>
      <c r="E356" s="128">
        <v>1154</v>
      </c>
      <c r="F356" s="172">
        <v>1352</v>
      </c>
      <c r="G356" s="128">
        <v>6322</v>
      </c>
      <c r="H356" s="172">
        <v>7023</v>
      </c>
      <c r="I356" s="128"/>
      <c r="J356" s="172"/>
      <c r="K356" s="128"/>
      <c r="L356" s="172"/>
      <c r="M356" s="128"/>
      <c r="N356" s="172"/>
      <c r="O356" s="128"/>
      <c r="P356" s="172"/>
      <c r="Q356" s="128"/>
      <c r="R356" s="172"/>
      <c r="S356" s="128"/>
      <c r="T356" s="172"/>
      <c r="U356" s="128"/>
      <c r="V356" s="172"/>
      <c r="W356" s="128"/>
      <c r="X356" s="172"/>
      <c r="Y356" s="128"/>
      <c r="Z356" s="172"/>
      <c r="AA356" s="128"/>
      <c r="AB356" s="172"/>
      <c r="AC356" s="128"/>
      <c r="AD356" s="172"/>
      <c r="AE356" s="128"/>
      <c r="AF356" s="172"/>
      <c r="AG356" s="128"/>
      <c r="AH356" s="172"/>
      <c r="AI356" s="128"/>
      <c r="AJ356" s="146"/>
      <c r="AK356" s="128"/>
      <c r="AL356" s="172"/>
      <c r="AM356" s="128"/>
      <c r="AN356" s="172"/>
    </row>
    <row r="357" spans="1:40" s="121" customFormat="1" ht="15" customHeight="1">
      <c r="A357" s="129" t="s">
        <v>961</v>
      </c>
      <c r="B357" s="129" t="s">
        <v>933</v>
      </c>
      <c r="C357" s="145">
        <v>198622</v>
      </c>
      <c r="D357" s="131">
        <v>8</v>
      </c>
      <c r="E357" s="128">
        <v>1174</v>
      </c>
      <c r="F357" s="172">
        <v>1291</v>
      </c>
      <c r="G357" s="128">
        <v>6342</v>
      </c>
      <c r="H357" s="172">
        <v>6827</v>
      </c>
      <c r="I357" s="128"/>
      <c r="J357" s="172"/>
      <c r="K357" s="128"/>
      <c r="L357" s="172"/>
      <c r="M357" s="128"/>
      <c r="N357" s="172"/>
      <c r="O357" s="128"/>
      <c r="P357" s="172"/>
      <c r="Q357" s="128"/>
      <c r="R357" s="172"/>
      <c r="S357" s="128"/>
      <c r="T357" s="172"/>
      <c r="U357" s="128"/>
      <c r="V357" s="172"/>
      <c r="W357" s="128"/>
      <c r="X357" s="172"/>
      <c r="Y357" s="128"/>
      <c r="Z357" s="172"/>
      <c r="AA357" s="128"/>
      <c r="AB357" s="172"/>
      <c r="AC357" s="128"/>
      <c r="AD357" s="172"/>
      <c r="AE357" s="128"/>
      <c r="AF357" s="172"/>
      <c r="AG357" s="128"/>
      <c r="AH357" s="172"/>
      <c r="AI357" s="128"/>
      <c r="AJ357" s="146"/>
      <c r="AK357" s="128"/>
      <c r="AL357" s="172"/>
      <c r="AM357" s="128"/>
      <c r="AN357" s="172"/>
    </row>
    <row r="358" spans="1:40" s="121" customFormat="1" ht="15" customHeight="1">
      <c r="A358" s="129" t="s">
        <v>961</v>
      </c>
      <c r="B358" s="129" t="s">
        <v>934</v>
      </c>
      <c r="C358" s="145">
        <v>199333</v>
      </c>
      <c r="D358" s="131">
        <v>8</v>
      </c>
      <c r="E358" s="128">
        <v>1168</v>
      </c>
      <c r="F358" s="172">
        <v>1216</v>
      </c>
      <c r="G358" s="128">
        <v>6336</v>
      </c>
      <c r="H358" s="172">
        <v>6752</v>
      </c>
      <c r="I358" s="128"/>
      <c r="J358" s="172"/>
      <c r="K358" s="128"/>
      <c r="L358" s="172"/>
      <c r="M358" s="128"/>
      <c r="N358" s="172"/>
      <c r="O358" s="128"/>
      <c r="P358" s="172"/>
      <c r="Q358" s="128"/>
      <c r="R358" s="172"/>
      <c r="S358" s="128"/>
      <c r="T358" s="172"/>
      <c r="U358" s="128"/>
      <c r="V358" s="172"/>
      <c r="W358" s="128"/>
      <c r="X358" s="172"/>
      <c r="Y358" s="128"/>
      <c r="Z358" s="172"/>
      <c r="AA358" s="128"/>
      <c r="AB358" s="172"/>
      <c r="AC358" s="128"/>
      <c r="AD358" s="172"/>
      <c r="AE358" s="128"/>
      <c r="AF358" s="172"/>
      <c r="AG358" s="128"/>
      <c r="AH358" s="172"/>
      <c r="AI358" s="128"/>
      <c r="AJ358" s="146"/>
      <c r="AK358" s="128"/>
      <c r="AL358" s="172"/>
      <c r="AM358" s="128"/>
      <c r="AN358" s="172"/>
    </row>
    <row r="359" spans="1:40" s="121" customFormat="1" ht="15" customHeight="1">
      <c r="A359" s="129" t="s">
        <v>961</v>
      </c>
      <c r="B359" s="129" t="s">
        <v>341</v>
      </c>
      <c r="C359" s="145">
        <v>199856</v>
      </c>
      <c r="D359" s="131">
        <v>8</v>
      </c>
      <c r="E359" s="128">
        <v>1148</v>
      </c>
      <c r="F359" s="172">
        <v>1244</v>
      </c>
      <c r="G359" s="128">
        <v>6316</v>
      </c>
      <c r="H359" s="172">
        <v>6780</v>
      </c>
      <c r="I359" s="128"/>
      <c r="J359" s="172"/>
      <c r="K359" s="128"/>
      <c r="L359" s="172"/>
      <c r="M359" s="128"/>
      <c r="N359" s="172"/>
      <c r="O359" s="128"/>
      <c r="P359" s="172"/>
      <c r="Q359" s="128"/>
      <c r="R359" s="172"/>
      <c r="S359" s="128"/>
      <c r="T359" s="172"/>
      <c r="U359" s="128"/>
      <c r="V359" s="172"/>
      <c r="W359" s="128"/>
      <c r="X359" s="172"/>
      <c r="Y359" s="128"/>
      <c r="Z359" s="172"/>
      <c r="AA359" s="128"/>
      <c r="AB359" s="172"/>
      <c r="AC359" s="128"/>
      <c r="AD359" s="172"/>
      <c r="AE359" s="128"/>
      <c r="AF359" s="172"/>
      <c r="AG359" s="128"/>
      <c r="AH359" s="172"/>
      <c r="AI359" s="128"/>
      <c r="AJ359" s="146"/>
      <c r="AK359" s="128"/>
      <c r="AL359" s="172"/>
      <c r="AM359" s="128"/>
      <c r="AN359" s="172"/>
    </row>
    <row r="360" spans="1:40" s="121" customFormat="1" ht="15" customHeight="1">
      <c r="A360" s="129" t="s">
        <v>961</v>
      </c>
      <c r="B360" s="129" t="s">
        <v>342</v>
      </c>
      <c r="C360" s="145">
        <v>199786</v>
      </c>
      <c r="D360" s="131">
        <v>9</v>
      </c>
      <c r="E360" s="128">
        <v>1151</v>
      </c>
      <c r="F360" s="172">
        <v>1239</v>
      </c>
      <c r="G360" s="128">
        <v>6319</v>
      </c>
      <c r="H360" s="172">
        <v>6752</v>
      </c>
      <c r="I360" s="128"/>
      <c r="J360" s="172"/>
      <c r="K360" s="128"/>
      <c r="L360" s="172"/>
      <c r="M360" s="128"/>
      <c r="N360" s="172"/>
      <c r="O360" s="128"/>
      <c r="P360" s="172"/>
      <c r="Q360" s="128"/>
      <c r="R360" s="172"/>
      <c r="S360" s="128"/>
      <c r="T360" s="172"/>
      <c r="U360" s="128"/>
      <c r="V360" s="172"/>
      <c r="W360" s="128"/>
      <c r="X360" s="172"/>
      <c r="Y360" s="128"/>
      <c r="Z360" s="172"/>
      <c r="AA360" s="128"/>
      <c r="AB360" s="172"/>
      <c r="AC360" s="128"/>
      <c r="AD360" s="172"/>
      <c r="AE360" s="128"/>
      <c r="AF360" s="172"/>
      <c r="AG360" s="128"/>
      <c r="AH360" s="172"/>
      <c r="AI360" s="128"/>
      <c r="AJ360" s="146"/>
      <c r="AK360" s="128"/>
      <c r="AL360" s="172"/>
      <c r="AM360" s="128"/>
      <c r="AN360" s="172"/>
    </row>
    <row r="361" spans="1:40" s="121" customFormat="1" ht="15" customHeight="1">
      <c r="A361" s="129" t="s">
        <v>961</v>
      </c>
      <c r="B361" s="129" t="s">
        <v>343</v>
      </c>
      <c r="C361" s="145">
        <v>198039</v>
      </c>
      <c r="D361" s="131">
        <v>9</v>
      </c>
      <c r="E361" s="128">
        <v>1151</v>
      </c>
      <c r="F361" s="172">
        <v>1216</v>
      </c>
      <c r="G361" s="128">
        <v>6319</v>
      </c>
      <c r="H361" s="172">
        <v>6752</v>
      </c>
      <c r="I361" s="128"/>
      <c r="J361" s="172"/>
      <c r="K361" s="128"/>
      <c r="L361" s="172"/>
      <c r="M361" s="128"/>
      <c r="N361" s="172"/>
      <c r="O361" s="128"/>
      <c r="P361" s="172"/>
      <c r="Q361" s="128"/>
      <c r="R361" s="172"/>
      <c r="S361" s="128"/>
      <c r="T361" s="172"/>
      <c r="U361" s="128"/>
      <c r="V361" s="172"/>
      <c r="W361" s="128"/>
      <c r="X361" s="172"/>
      <c r="Y361" s="128"/>
      <c r="Z361" s="172"/>
      <c r="AA361" s="128"/>
      <c r="AB361" s="172"/>
      <c r="AC361" s="128"/>
      <c r="AD361" s="172"/>
      <c r="AE361" s="128"/>
      <c r="AF361" s="172"/>
      <c r="AG361" s="128"/>
      <c r="AH361" s="172"/>
      <c r="AI361" s="128"/>
      <c r="AJ361" s="146"/>
      <c r="AK361" s="128"/>
      <c r="AL361" s="172"/>
      <c r="AM361" s="128"/>
      <c r="AN361" s="172"/>
    </row>
    <row r="362" spans="1:40" s="121" customFormat="1" ht="15" customHeight="1">
      <c r="A362" s="129" t="s">
        <v>961</v>
      </c>
      <c r="B362" s="129" t="s">
        <v>344</v>
      </c>
      <c r="C362" s="145">
        <v>198118</v>
      </c>
      <c r="D362" s="131">
        <v>9</v>
      </c>
      <c r="E362" s="128">
        <v>1168</v>
      </c>
      <c r="F362" s="172">
        <v>1248</v>
      </c>
      <c r="G362" s="128">
        <v>6336</v>
      </c>
      <c r="H362" s="172">
        <v>6784</v>
      </c>
      <c r="I362" s="128"/>
      <c r="J362" s="172"/>
      <c r="K362" s="128"/>
      <c r="L362" s="172"/>
      <c r="M362" s="128"/>
      <c r="N362" s="172"/>
      <c r="O362" s="128"/>
      <c r="P362" s="172"/>
      <c r="Q362" s="128"/>
      <c r="R362" s="172"/>
      <c r="S362" s="128"/>
      <c r="T362" s="172"/>
      <c r="U362" s="128"/>
      <c r="V362" s="172"/>
      <c r="W362" s="128"/>
      <c r="X362" s="172"/>
      <c r="Y362" s="128"/>
      <c r="Z362" s="172"/>
      <c r="AA362" s="128"/>
      <c r="AB362" s="172"/>
      <c r="AC362" s="128"/>
      <c r="AD362" s="172"/>
      <c r="AE362" s="128"/>
      <c r="AF362" s="172"/>
      <c r="AG362" s="128"/>
      <c r="AH362" s="172"/>
      <c r="AI362" s="128"/>
      <c r="AJ362" s="146"/>
      <c r="AK362" s="128"/>
      <c r="AL362" s="172"/>
      <c r="AM362" s="128"/>
      <c r="AN362" s="172"/>
    </row>
    <row r="363" spans="1:40" s="121" customFormat="1" ht="15" customHeight="1">
      <c r="A363" s="129" t="s">
        <v>961</v>
      </c>
      <c r="B363" s="129" t="s">
        <v>345</v>
      </c>
      <c r="C363" s="145">
        <v>198233</v>
      </c>
      <c r="D363" s="131">
        <v>9</v>
      </c>
      <c r="E363" s="128">
        <v>1147</v>
      </c>
      <c r="F363" s="172">
        <v>1216</v>
      </c>
      <c r="G363" s="128">
        <v>6315</v>
      </c>
      <c r="H363" s="172">
        <v>6752</v>
      </c>
      <c r="I363" s="128"/>
      <c r="J363" s="172"/>
      <c r="K363" s="128"/>
      <c r="L363" s="172"/>
      <c r="M363" s="128"/>
      <c r="N363" s="172"/>
      <c r="O363" s="128"/>
      <c r="P363" s="172"/>
      <c r="Q363" s="128"/>
      <c r="R363" s="172"/>
      <c r="S363" s="128"/>
      <c r="T363" s="172"/>
      <c r="U363" s="128"/>
      <c r="V363" s="172"/>
      <c r="W363" s="128"/>
      <c r="X363" s="172"/>
      <c r="Y363" s="128"/>
      <c r="Z363" s="172"/>
      <c r="AA363" s="128"/>
      <c r="AB363" s="172"/>
      <c r="AC363" s="128"/>
      <c r="AD363" s="172"/>
      <c r="AE363" s="128"/>
      <c r="AF363" s="172"/>
      <c r="AG363" s="128"/>
      <c r="AH363" s="172"/>
      <c r="AI363" s="128"/>
      <c r="AJ363" s="146"/>
      <c r="AK363" s="128"/>
      <c r="AL363" s="172"/>
      <c r="AM363" s="128"/>
      <c r="AN363" s="172"/>
    </row>
    <row r="364" spans="1:40" s="121" customFormat="1" ht="15" customHeight="1">
      <c r="A364" s="129" t="s">
        <v>961</v>
      </c>
      <c r="B364" s="129" t="s">
        <v>346</v>
      </c>
      <c r="C364" s="145">
        <v>198321</v>
      </c>
      <c r="D364" s="131">
        <v>9</v>
      </c>
      <c r="E364" s="128">
        <v>1174</v>
      </c>
      <c r="F364" s="172">
        <v>1216</v>
      </c>
      <c r="G364" s="128">
        <v>6342</v>
      </c>
      <c r="H364" s="172">
        <v>6752</v>
      </c>
      <c r="I364" s="128"/>
      <c r="J364" s="172"/>
      <c r="K364" s="128"/>
      <c r="L364" s="172"/>
      <c r="M364" s="128"/>
      <c r="N364" s="172"/>
      <c r="O364" s="128"/>
      <c r="P364" s="172"/>
      <c r="Q364" s="128"/>
      <c r="R364" s="172"/>
      <c r="S364" s="128"/>
      <c r="T364" s="172"/>
      <c r="U364" s="128"/>
      <c r="V364" s="172"/>
      <c r="W364" s="128"/>
      <c r="X364" s="172"/>
      <c r="Y364" s="128"/>
      <c r="Z364" s="172"/>
      <c r="AA364" s="128"/>
      <c r="AB364" s="172"/>
      <c r="AC364" s="128"/>
      <c r="AD364" s="172"/>
      <c r="AE364" s="128"/>
      <c r="AF364" s="172"/>
      <c r="AG364" s="128"/>
      <c r="AH364" s="172"/>
      <c r="AI364" s="128"/>
      <c r="AJ364" s="146"/>
      <c r="AK364" s="128"/>
      <c r="AL364" s="172"/>
      <c r="AM364" s="128"/>
      <c r="AN364" s="172"/>
    </row>
    <row r="365" spans="1:40" s="121" customFormat="1" ht="15" customHeight="1">
      <c r="A365" s="129" t="s">
        <v>961</v>
      </c>
      <c r="B365" s="129" t="s">
        <v>347</v>
      </c>
      <c r="C365" s="145">
        <v>198330</v>
      </c>
      <c r="D365" s="131">
        <v>9</v>
      </c>
      <c r="E365" s="128">
        <v>1166</v>
      </c>
      <c r="F365" s="172">
        <v>1216</v>
      </c>
      <c r="G365" s="128">
        <v>6334</v>
      </c>
      <c r="H365" s="172">
        <v>6752</v>
      </c>
      <c r="I365" s="128"/>
      <c r="J365" s="172"/>
      <c r="K365" s="128"/>
      <c r="L365" s="172"/>
      <c r="M365" s="128"/>
      <c r="N365" s="172"/>
      <c r="O365" s="128"/>
      <c r="P365" s="172"/>
      <c r="Q365" s="128"/>
      <c r="R365" s="172"/>
      <c r="S365" s="128"/>
      <c r="T365" s="172"/>
      <c r="U365" s="128"/>
      <c r="V365" s="172"/>
      <c r="W365" s="128"/>
      <c r="X365" s="172"/>
      <c r="Y365" s="128"/>
      <c r="Z365" s="172"/>
      <c r="AA365" s="128"/>
      <c r="AB365" s="172"/>
      <c r="AC365" s="128"/>
      <c r="AD365" s="172"/>
      <c r="AE365" s="128"/>
      <c r="AF365" s="172"/>
      <c r="AG365" s="128"/>
      <c r="AH365" s="172"/>
      <c r="AI365" s="128"/>
      <c r="AJ365" s="146"/>
      <c r="AK365" s="128"/>
      <c r="AL365" s="172"/>
      <c r="AM365" s="128"/>
      <c r="AN365" s="172"/>
    </row>
    <row r="366" spans="1:40" s="121" customFormat="1" ht="15" customHeight="1">
      <c r="A366" s="129" t="s">
        <v>961</v>
      </c>
      <c r="B366" s="129" t="s">
        <v>348</v>
      </c>
      <c r="C366" s="145">
        <v>197814</v>
      </c>
      <c r="D366" s="131">
        <v>9</v>
      </c>
      <c r="E366" s="128">
        <v>1170</v>
      </c>
      <c r="F366" s="172">
        <v>1216</v>
      </c>
      <c r="G366" s="128">
        <v>6338</v>
      </c>
      <c r="H366" s="172">
        <v>6752</v>
      </c>
      <c r="I366" s="128"/>
      <c r="J366" s="172"/>
      <c r="K366" s="128"/>
      <c r="L366" s="172"/>
      <c r="M366" s="128"/>
      <c r="N366" s="172"/>
      <c r="O366" s="128"/>
      <c r="P366" s="172"/>
      <c r="Q366" s="128"/>
      <c r="R366" s="172"/>
      <c r="S366" s="128"/>
      <c r="T366" s="172"/>
      <c r="U366" s="128"/>
      <c r="V366" s="172"/>
      <c r="W366" s="128"/>
      <c r="X366" s="172"/>
      <c r="Y366" s="128"/>
      <c r="Z366" s="172"/>
      <c r="AA366" s="128"/>
      <c r="AB366" s="172"/>
      <c r="AC366" s="128"/>
      <c r="AD366" s="172"/>
      <c r="AE366" s="128"/>
      <c r="AF366" s="172"/>
      <c r="AG366" s="128"/>
      <c r="AH366" s="172"/>
      <c r="AI366" s="128"/>
      <c r="AJ366" s="146"/>
      <c r="AK366" s="128"/>
      <c r="AL366" s="172"/>
      <c r="AM366" s="128"/>
      <c r="AN366" s="172"/>
    </row>
    <row r="367" spans="1:40" s="121" customFormat="1" ht="15" customHeight="1">
      <c r="A367" s="129" t="s">
        <v>961</v>
      </c>
      <c r="B367" s="129" t="s">
        <v>349</v>
      </c>
      <c r="C367" s="145">
        <v>198367</v>
      </c>
      <c r="D367" s="131">
        <v>9</v>
      </c>
      <c r="E367" s="128">
        <v>1164</v>
      </c>
      <c r="F367" s="172">
        <v>1440</v>
      </c>
      <c r="G367" s="128">
        <v>6332</v>
      </c>
      <c r="H367" s="172">
        <v>7668</v>
      </c>
      <c r="I367" s="128"/>
      <c r="J367" s="172"/>
      <c r="K367" s="128"/>
      <c r="L367" s="172"/>
      <c r="M367" s="128"/>
      <c r="N367" s="172"/>
      <c r="O367" s="128"/>
      <c r="P367" s="172"/>
      <c r="Q367" s="128"/>
      <c r="R367" s="172"/>
      <c r="S367" s="128"/>
      <c r="T367" s="172"/>
      <c r="U367" s="128"/>
      <c r="V367" s="172"/>
      <c r="W367" s="128"/>
      <c r="X367" s="172"/>
      <c r="Y367" s="128"/>
      <c r="Z367" s="172"/>
      <c r="AA367" s="128"/>
      <c r="AB367" s="172"/>
      <c r="AC367" s="128"/>
      <c r="AD367" s="172"/>
      <c r="AE367" s="128"/>
      <c r="AF367" s="172"/>
      <c r="AG367" s="128"/>
      <c r="AH367" s="172"/>
      <c r="AI367" s="128"/>
      <c r="AJ367" s="146"/>
      <c r="AK367" s="128"/>
      <c r="AL367" s="172"/>
      <c r="AM367" s="128"/>
      <c r="AN367" s="172"/>
    </row>
    <row r="368" spans="1:40" s="121" customFormat="1" ht="15" customHeight="1">
      <c r="A368" s="129" t="s">
        <v>961</v>
      </c>
      <c r="B368" s="129" t="s">
        <v>350</v>
      </c>
      <c r="C368" s="145">
        <v>198376</v>
      </c>
      <c r="D368" s="131">
        <v>9</v>
      </c>
      <c r="E368" s="128">
        <v>1156</v>
      </c>
      <c r="F368" s="172">
        <v>1218</v>
      </c>
      <c r="G368" s="128">
        <v>6324</v>
      </c>
      <c r="H368" s="172">
        <v>6752</v>
      </c>
      <c r="I368" s="128"/>
      <c r="J368" s="172"/>
      <c r="K368" s="128"/>
      <c r="L368" s="172"/>
      <c r="M368" s="128"/>
      <c r="N368" s="172"/>
      <c r="O368" s="128"/>
      <c r="P368" s="172"/>
      <c r="Q368" s="128"/>
      <c r="R368" s="172"/>
      <c r="S368" s="128"/>
      <c r="T368" s="172"/>
      <c r="U368" s="128"/>
      <c r="V368" s="172"/>
      <c r="W368" s="128"/>
      <c r="X368" s="172"/>
      <c r="Y368" s="128"/>
      <c r="Z368" s="172"/>
      <c r="AA368" s="128"/>
      <c r="AB368" s="172"/>
      <c r="AC368" s="128"/>
      <c r="AD368" s="172"/>
      <c r="AE368" s="128"/>
      <c r="AF368" s="172"/>
      <c r="AG368" s="128"/>
      <c r="AH368" s="172"/>
      <c r="AI368" s="128"/>
      <c r="AJ368" s="146"/>
      <c r="AK368" s="128"/>
      <c r="AL368" s="172"/>
      <c r="AM368" s="128"/>
      <c r="AN368" s="172"/>
    </row>
    <row r="369" spans="1:40" s="121" customFormat="1" ht="15" customHeight="1">
      <c r="A369" s="129" t="s">
        <v>961</v>
      </c>
      <c r="B369" s="129" t="s">
        <v>351</v>
      </c>
      <c r="C369" s="145">
        <v>198455</v>
      </c>
      <c r="D369" s="131">
        <v>9</v>
      </c>
      <c r="E369" s="128">
        <v>1164</v>
      </c>
      <c r="F369" s="172">
        <v>1260</v>
      </c>
      <c r="G369" s="128">
        <v>6332</v>
      </c>
      <c r="H369" s="172">
        <v>6796</v>
      </c>
      <c r="I369" s="128"/>
      <c r="J369" s="172"/>
      <c r="K369" s="128"/>
      <c r="L369" s="172"/>
      <c r="M369" s="128"/>
      <c r="N369" s="172"/>
      <c r="O369" s="128"/>
      <c r="P369" s="172"/>
      <c r="Q369" s="128"/>
      <c r="R369" s="172"/>
      <c r="S369" s="128"/>
      <c r="T369" s="172"/>
      <c r="U369" s="128"/>
      <c r="V369" s="172"/>
      <c r="W369" s="128"/>
      <c r="X369" s="172"/>
      <c r="Y369" s="128"/>
      <c r="Z369" s="172"/>
      <c r="AA369" s="128"/>
      <c r="AB369" s="172"/>
      <c r="AC369" s="128"/>
      <c r="AD369" s="172"/>
      <c r="AE369" s="128"/>
      <c r="AF369" s="172"/>
      <c r="AG369" s="128"/>
      <c r="AH369" s="172"/>
      <c r="AI369" s="128"/>
      <c r="AJ369" s="146"/>
      <c r="AK369" s="128"/>
      <c r="AL369" s="172"/>
      <c r="AM369" s="128"/>
      <c r="AN369" s="172"/>
    </row>
    <row r="370" spans="1:40" s="121" customFormat="1" ht="15" customHeight="1">
      <c r="A370" s="129" t="s">
        <v>961</v>
      </c>
      <c r="B370" s="129" t="s">
        <v>352</v>
      </c>
      <c r="C370" s="145">
        <v>198491</v>
      </c>
      <c r="D370" s="131">
        <v>9</v>
      </c>
      <c r="E370" s="128">
        <v>1160</v>
      </c>
      <c r="F370" s="172">
        <v>1216</v>
      </c>
      <c r="G370" s="128">
        <v>6328</v>
      </c>
      <c r="H370" s="172">
        <v>6752</v>
      </c>
      <c r="I370" s="128"/>
      <c r="J370" s="172"/>
      <c r="K370" s="128"/>
      <c r="L370" s="172"/>
      <c r="M370" s="128"/>
      <c r="N370" s="172"/>
      <c r="O370" s="128"/>
      <c r="P370" s="172"/>
      <c r="Q370" s="128"/>
      <c r="R370" s="172"/>
      <c r="S370" s="128"/>
      <c r="T370" s="172"/>
      <c r="U370" s="128"/>
      <c r="V370" s="172"/>
      <c r="W370" s="128"/>
      <c r="X370" s="172"/>
      <c r="Y370" s="128"/>
      <c r="Z370" s="172"/>
      <c r="AA370" s="128"/>
      <c r="AB370" s="172"/>
      <c r="AC370" s="128"/>
      <c r="AD370" s="172"/>
      <c r="AE370" s="128"/>
      <c r="AF370" s="172"/>
      <c r="AG370" s="128"/>
      <c r="AH370" s="172"/>
      <c r="AI370" s="128"/>
      <c r="AJ370" s="146"/>
      <c r="AK370" s="128"/>
      <c r="AL370" s="172"/>
      <c r="AM370" s="128"/>
      <c r="AN370" s="172"/>
    </row>
    <row r="371" spans="1:40" s="121" customFormat="1" ht="15" customHeight="1">
      <c r="A371" s="129" t="s">
        <v>961</v>
      </c>
      <c r="B371" s="129" t="s">
        <v>353</v>
      </c>
      <c r="C371" s="145">
        <v>198570</v>
      </c>
      <c r="D371" s="131">
        <v>9</v>
      </c>
      <c r="E371" s="128">
        <v>1160</v>
      </c>
      <c r="F371" s="172">
        <v>1220</v>
      </c>
      <c r="G371" s="128">
        <v>6328</v>
      </c>
      <c r="H371" s="172">
        <v>6752</v>
      </c>
      <c r="I371" s="128"/>
      <c r="J371" s="172"/>
      <c r="K371" s="128"/>
      <c r="L371" s="172"/>
      <c r="M371" s="128"/>
      <c r="N371" s="172"/>
      <c r="O371" s="128"/>
      <c r="P371" s="172"/>
      <c r="Q371" s="128"/>
      <c r="R371" s="172"/>
      <c r="S371" s="128"/>
      <c r="T371" s="172"/>
      <c r="U371" s="128"/>
      <c r="V371" s="172"/>
      <c r="W371" s="128"/>
      <c r="X371" s="172"/>
      <c r="Y371" s="128"/>
      <c r="Z371" s="172"/>
      <c r="AA371" s="128"/>
      <c r="AB371" s="172"/>
      <c r="AC371" s="128"/>
      <c r="AD371" s="172"/>
      <c r="AE371" s="128"/>
      <c r="AF371" s="172"/>
      <c r="AG371" s="128"/>
      <c r="AH371" s="172"/>
      <c r="AI371" s="128"/>
      <c r="AJ371" s="146"/>
      <c r="AK371" s="128"/>
      <c r="AL371" s="172"/>
      <c r="AM371" s="128"/>
      <c r="AN371" s="172"/>
    </row>
    <row r="372" spans="1:40" s="121" customFormat="1" ht="15" customHeight="1">
      <c r="A372" s="129" t="s">
        <v>961</v>
      </c>
      <c r="B372" s="129" t="s">
        <v>95</v>
      </c>
      <c r="C372" s="145">
        <v>198710</v>
      </c>
      <c r="D372" s="131">
        <v>9</v>
      </c>
      <c r="E372" s="128">
        <v>1164</v>
      </c>
      <c r="F372" s="172">
        <v>1216</v>
      </c>
      <c r="G372" s="128">
        <v>6332</v>
      </c>
      <c r="H372" s="172">
        <v>6752</v>
      </c>
      <c r="I372" s="128"/>
      <c r="J372" s="172"/>
      <c r="K372" s="128"/>
      <c r="L372" s="172"/>
      <c r="M372" s="128"/>
      <c r="N372" s="172"/>
      <c r="O372" s="128"/>
      <c r="P372" s="172"/>
      <c r="Q372" s="128"/>
      <c r="R372" s="172"/>
      <c r="S372" s="128"/>
      <c r="T372" s="172"/>
      <c r="U372" s="128"/>
      <c r="V372" s="172"/>
      <c r="W372" s="128"/>
      <c r="X372" s="172"/>
      <c r="Y372" s="128"/>
      <c r="Z372" s="172"/>
      <c r="AA372" s="128"/>
      <c r="AB372" s="172"/>
      <c r="AC372" s="128"/>
      <c r="AD372" s="172"/>
      <c r="AE372" s="128"/>
      <c r="AF372" s="172"/>
      <c r="AG372" s="128"/>
      <c r="AH372" s="172"/>
      <c r="AI372" s="128"/>
      <c r="AJ372" s="146"/>
      <c r="AK372" s="128"/>
      <c r="AL372" s="172"/>
      <c r="AM372" s="128"/>
      <c r="AN372" s="172"/>
    </row>
    <row r="373" spans="1:40" s="121" customFormat="1" ht="15" customHeight="1">
      <c r="A373" s="129" t="s">
        <v>961</v>
      </c>
      <c r="B373" s="129" t="s">
        <v>354</v>
      </c>
      <c r="C373" s="145">
        <v>198774</v>
      </c>
      <c r="D373" s="131">
        <v>9</v>
      </c>
      <c r="E373" s="128">
        <v>1174</v>
      </c>
      <c r="F373" s="172">
        <v>1286</v>
      </c>
      <c r="G373" s="128">
        <v>6342</v>
      </c>
      <c r="H373" s="172">
        <v>6822</v>
      </c>
      <c r="I373" s="128"/>
      <c r="J373" s="172"/>
      <c r="K373" s="128"/>
      <c r="L373" s="172"/>
      <c r="M373" s="128"/>
      <c r="N373" s="172"/>
      <c r="O373" s="128"/>
      <c r="P373" s="172"/>
      <c r="Q373" s="128"/>
      <c r="R373" s="172"/>
      <c r="S373" s="128"/>
      <c r="T373" s="172"/>
      <c r="U373" s="128"/>
      <c r="V373" s="172"/>
      <c r="W373" s="128"/>
      <c r="X373" s="172"/>
      <c r="Y373" s="128"/>
      <c r="Z373" s="172"/>
      <c r="AA373" s="128"/>
      <c r="AB373" s="172"/>
      <c r="AC373" s="128"/>
      <c r="AD373" s="172"/>
      <c r="AE373" s="128"/>
      <c r="AF373" s="172"/>
      <c r="AG373" s="128"/>
      <c r="AH373" s="172"/>
      <c r="AI373" s="128"/>
      <c r="AJ373" s="146"/>
      <c r="AK373" s="128"/>
      <c r="AL373" s="172"/>
      <c r="AM373" s="128"/>
      <c r="AN373" s="172"/>
    </row>
    <row r="374" spans="1:40" s="121" customFormat="1" ht="15" customHeight="1">
      <c r="A374" s="129" t="s">
        <v>961</v>
      </c>
      <c r="B374" s="129" t="s">
        <v>355</v>
      </c>
      <c r="C374" s="145">
        <v>198817</v>
      </c>
      <c r="D374" s="131">
        <v>9</v>
      </c>
      <c r="E374" s="128">
        <v>1174</v>
      </c>
      <c r="F374" s="172">
        <v>1291</v>
      </c>
      <c r="G374" s="128">
        <v>6342</v>
      </c>
      <c r="H374" s="172">
        <v>6827</v>
      </c>
      <c r="I374" s="128"/>
      <c r="J374" s="172"/>
      <c r="K374" s="128"/>
      <c r="L374" s="172"/>
      <c r="M374" s="128"/>
      <c r="N374" s="172"/>
      <c r="O374" s="128"/>
      <c r="P374" s="172"/>
      <c r="Q374" s="128"/>
      <c r="R374" s="172"/>
      <c r="S374" s="128"/>
      <c r="T374" s="172"/>
      <c r="U374" s="128"/>
      <c r="V374" s="172"/>
      <c r="W374" s="128"/>
      <c r="X374" s="172"/>
      <c r="Y374" s="128"/>
      <c r="Z374" s="172"/>
      <c r="AA374" s="128"/>
      <c r="AB374" s="172"/>
      <c r="AC374" s="128"/>
      <c r="AD374" s="172"/>
      <c r="AE374" s="128"/>
      <c r="AF374" s="172"/>
      <c r="AG374" s="128"/>
      <c r="AH374" s="172"/>
      <c r="AI374" s="128"/>
      <c r="AJ374" s="146"/>
      <c r="AK374" s="128"/>
      <c r="AL374" s="172"/>
      <c r="AM374" s="128"/>
      <c r="AN374" s="172"/>
    </row>
    <row r="375" spans="1:40" s="121" customFormat="1" ht="15" customHeight="1">
      <c r="A375" s="129" t="s">
        <v>961</v>
      </c>
      <c r="B375" s="129" t="s">
        <v>356</v>
      </c>
      <c r="C375" s="145">
        <v>198987</v>
      </c>
      <c r="D375" s="131">
        <v>9</v>
      </c>
      <c r="E375" s="128">
        <v>1166</v>
      </c>
      <c r="F375" s="172">
        <v>1278</v>
      </c>
      <c r="G375" s="128">
        <v>6334</v>
      </c>
      <c r="H375" s="172">
        <v>6814</v>
      </c>
      <c r="I375" s="128"/>
      <c r="J375" s="172"/>
      <c r="K375" s="128"/>
      <c r="L375" s="172"/>
      <c r="M375" s="128"/>
      <c r="N375" s="172"/>
      <c r="O375" s="128"/>
      <c r="P375" s="172"/>
      <c r="Q375" s="128"/>
      <c r="R375" s="172"/>
      <c r="S375" s="128"/>
      <c r="T375" s="172"/>
      <c r="U375" s="128"/>
      <c r="V375" s="172"/>
      <c r="W375" s="128"/>
      <c r="X375" s="172"/>
      <c r="Y375" s="128"/>
      <c r="Z375" s="172"/>
      <c r="AA375" s="128"/>
      <c r="AB375" s="172"/>
      <c r="AC375" s="128"/>
      <c r="AD375" s="172"/>
      <c r="AE375" s="128"/>
      <c r="AF375" s="172"/>
      <c r="AG375" s="128"/>
      <c r="AH375" s="172"/>
      <c r="AI375" s="128"/>
      <c r="AJ375" s="146"/>
      <c r="AK375" s="128"/>
      <c r="AL375" s="172"/>
      <c r="AM375" s="128"/>
      <c r="AN375" s="172"/>
    </row>
    <row r="376" spans="1:40" s="121" customFormat="1" ht="15" customHeight="1">
      <c r="A376" s="129" t="s">
        <v>961</v>
      </c>
      <c r="B376" s="129" t="s">
        <v>357</v>
      </c>
      <c r="C376" s="145">
        <v>199087</v>
      </c>
      <c r="D376" s="131">
        <v>9</v>
      </c>
      <c r="E376" s="128">
        <v>1168</v>
      </c>
      <c r="F376" s="172">
        <v>1248</v>
      </c>
      <c r="G376" s="128">
        <v>6336</v>
      </c>
      <c r="H376" s="172">
        <v>6752</v>
      </c>
      <c r="I376" s="128"/>
      <c r="J376" s="172"/>
      <c r="K376" s="128"/>
      <c r="L376" s="172"/>
      <c r="M376" s="128"/>
      <c r="N376" s="172"/>
      <c r="O376" s="128"/>
      <c r="P376" s="172"/>
      <c r="Q376" s="128"/>
      <c r="R376" s="172"/>
      <c r="S376" s="128"/>
      <c r="T376" s="172"/>
      <c r="U376" s="128"/>
      <c r="V376" s="172"/>
      <c r="W376" s="128"/>
      <c r="X376" s="172"/>
      <c r="Y376" s="128"/>
      <c r="Z376" s="172"/>
      <c r="AA376" s="128"/>
      <c r="AB376" s="172"/>
      <c r="AC376" s="128"/>
      <c r="AD376" s="172"/>
      <c r="AE376" s="128"/>
      <c r="AF376" s="172"/>
      <c r="AG376" s="128"/>
      <c r="AH376" s="172"/>
      <c r="AI376" s="128"/>
      <c r="AJ376" s="146"/>
      <c r="AK376" s="128"/>
      <c r="AL376" s="172"/>
      <c r="AM376" s="128"/>
      <c r="AN376" s="172"/>
    </row>
    <row r="377" spans="1:40" s="121" customFormat="1" ht="15" customHeight="1">
      <c r="A377" s="129" t="s">
        <v>961</v>
      </c>
      <c r="B377" s="129" t="s">
        <v>102</v>
      </c>
      <c r="C377" s="145">
        <v>199324</v>
      </c>
      <c r="D377" s="131">
        <v>9</v>
      </c>
      <c r="E377" s="128">
        <v>1166</v>
      </c>
      <c r="F377" s="172">
        <v>1249</v>
      </c>
      <c r="G377" s="128">
        <v>6334</v>
      </c>
      <c r="H377" s="172">
        <v>6752</v>
      </c>
      <c r="I377" s="128"/>
      <c r="J377" s="172"/>
      <c r="K377" s="128"/>
      <c r="L377" s="172"/>
      <c r="M377" s="128"/>
      <c r="N377" s="172"/>
      <c r="O377" s="128"/>
      <c r="P377" s="172"/>
      <c r="Q377" s="128"/>
      <c r="R377" s="172"/>
      <c r="S377" s="128"/>
      <c r="T377" s="172"/>
      <c r="U377" s="128"/>
      <c r="V377" s="172"/>
      <c r="W377" s="128"/>
      <c r="X377" s="172"/>
      <c r="Y377" s="128"/>
      <c r="Z377" s="172"/>
      <c r="AA377" s="128"/>
      <c r="AB377" s="172"/>
      <c r="AC377" s="128"/>
      <c r="AD377" s="172"/>
      <c r="AE377" s="128"/>
      <c r="AF377" s="172"/>
      <c r="AG377" s="128"/>
      <c r="AH377" s="172"/>
      <c r="AI377" s="128"/>
      <c r="AJ377" s="146"/>
      <c r="AK377" s="128"/>
      <c r="AL377" s="172"/>
      <c r="AM377" s="128"/>
      <c r="AN377" s="172"/>
    </row>
    <row r="378" spans="1:40" s="121" customFormat="1" ht="15" customHeight="1">
      <c r="A378" s="129" t="s">
        <v>961</v>
      </c>
      <c r="B378" s="129" t="s">
        <v>715</v>
      </c>
      <c r="C378" s="145">
        <v>199421</v>
      </c>
      <c r="D378" s="131">
        <v>9</v>
      </c>
      <c r="E378" s="128">
        <v>1168</v>
      </c>
      <c r="F378" s="172">
        <v>1280</v>
      </c>
      <c r="G378" s="128">
        <v>6336</v>
      </c>
      <c r="H378" s="172">
        <v>6816</v>
      </c>
      <c r="I378" s="128"/>
      <c r="J378" s="172"/>
      <c r="K378" s="128"/>
      <c r="L378" s="172"/>
      <c r="M378" s="128"/>
      <c r="N378" s="172"/>
      <c r="O378" s="128"/>
      <c r="P378" s="172"/>
      <c r="Q378" s="128"/>
      <c r="R378" s="172"/>
      <c r="S378" s="128"/>
      <c r="T378" s="172"/>
      <c r="U378" s="128"/>
      <c r="V378" s="172"/>
      <c r="W378" s="128"/>
      <c r="X378" s="172"/>
      <c r="Y378" s="128"/>
      <c r="Z378" s="172"/>
      <c r="AA378" s="128"/>
      <c r="AB378" s="172"/>
      <c r="AC378" s="128"/>
      <c r="AD378" s="172"/>
      <c r="AE378" s="128"/>
      <c r="AF378" s="172"/>
      <c r="AG378" s="128"/>
      <c r="AH378" s="172"/>
      <c r="AI378" s="128"/>
      <c r="AJ378" s="146"/>
      <c r="AK378" s="128"/>
      <c r="AL378" s="172"/>
      <c r="AM378" s="128"/>
      <c r="AN378" s="172"/>
    </row>
    <row r="379" spans="1:40" s="121" customFormat="1" ht="15" customHeight="1">
      <c r="A379" s="129" t="s">
        <v>961</v>
      </c>
      <c r="B379" s="129" t="s">
        <v>223</v>
      </c>
      <c r="C379" s="145">
        <v>199449</v>
      </c>
      <c r="D379" s="131">
        <v>9</v>
      </c>
      <c r="E379" s="128">
        <v>1172</v>
      </c>
      <c r="F379" s="172">
        <v>1256</v>
      </c>
      <c r="G379" s="128">
        <v>6340</v>
      </c>
      <c r="H379" s="172">
        <v>6752</v>
      </c>
      <c r="I379" s="128"/>
      <c r="J379" s="172"/>
      <c r="K379" s="128"/>
      <c r="L379" s="172"/>
      <c r="M379" s="128"/>
      <c r="N379" s="172"/>
      <c r="O379" s="128"/>
      <c r="P379" s="172"/>
      <c r="Q379" s="128"/>
      <c r="R379" s="172"/>
      <c r="S379" s="128"/>
      <c r="T379" s="172"/>
      <c r="U379" s="128"/>
      <c r="V379" s="172"/>
      <c r="W379" s="128"/>
      <c r="X379" s="172"/>
      <c r="Y379" s="128"/>
      <c r="Z379" s="172"/>
      <c r="AA379" s="128"/>
      <c r="AB379" s="172"/>
      <c r="AC379" s="128"/>
      <c r="AD379" s="172"/>
      <c r="AE379" s="128"/>
      <c r="AF379" s="172"/>
      <c r="AG379" s="128"/>
      <c r="AH379" s="172"/>
      <c r="AI379" s="128"/>
      <c r="AJ379" s="146"/>
      <c r="AK379" s="128"/>
      <c r="AL379" s="172"/>
      <c r="AM379" s="128"/>
      <c r="AN379" s="172"/>
    </row>
    <row r="380" spans="1:40" s="121" customFormat="1" ht="15" customHeight="1">
      <c r="A380" s="129" t="s">
        <v>961</v>
      </c>
      <c r="B380" s="129" t="s">
        <v>224</v>
      </c>
      <c r="C380" s="145">
        <v>199476</v>
      </c>
      <c r="D380" s="131">
        <v>9</v>
      </c>
      <c r="E380" s="128">
        <v>1164</v>
      </c>
      <c r="F380" s="172">
        <v>1276</v>
      </c>
      <c r="G380" s="128">
        <v>6332</v>
      </c>
      <c r="H380" s="172">
        <v>6812</v>
      </c>
      <c r="I380" s="128"/>
      <c r="J380" s="172"/>
      <c r="K380" s="128"/>
      <c r="L380" s="172"/>
      <c r="M380" s="128"/>
      <c r="N380" s="172"/>
      <c r="O380" s="128"/>
      <c r="P380" s="172"/>
      <c r="Q380" s="128"/>
      <c r="R380" s="172"/>
      <c r="S380" s="128"/>
      <c r="T380" s="172"/>
      <c r="U380" s="128"/>
      <c r="V380" s="172"/>
      <c r="W380" s="128"/>
      <c r="X380" s="172"/>
      <c r="Y380" s="128"/>
      <c r="Z380" s="172"/>
      <c r="AA380" s="128"/>
      <c r="AB380" s="172"/>
      <c r="AC380" s="128"/>
      <c r="AD380" s="172"/>
      <c r="AE380" s="128"/>
      <c r="AF380" s="172"/>
      <c r="AG380" s="128"/>
      <c r="AH380" s="172"/>
      <c r="AI380" s="128"/>
      <c r="AJ380" s="146"/>
      <c r="AK380" s="128"/>
      <c r="AL380" s="172"/>
      <c r="AM380" s="128"/>
      <c r="AN380" s="172"/>
    </row>
    <row r="381" spans="1:40" s="121" customFormat="1" ht="15" customHeight="1">
      <c r="A381" s="129" t="s">
        <v>961</v>
      </c>
      <c r="B381" s="129" t="s">
        <v>78</v>
      </c>
      <c r="C381" s="145">
        <v>199485</v>
      </c>
      <c r="D381" s="131">
        <v>9</v>
      </c>
      <c r="E381" s="128">
        <v>1174</v>
      </c>
      <c r="F381" s="172">
        <v>1384</v>
      </c>
      <c r="G381" s="128">
        <v>6342</v>
      </c>
      <c r="H381" s="172">
        <v>6752</v>
      </c>
      <c r="I381" s="128"/>
      <c r="J381" s="172"/>
      <c r="K381" s="128"/>
      <c r="L381" s="172"/>
      <c r="M381" s="128"/>
      <c r="N381" s="172"/>
      <c r="O381" s="128"/>
      <c r="P381" s="172"/>
      <c r="Q381" s="128"/>
      <c r="R381" s="172"/>
      <c r="S381" s="128"/>
      <c r="T381" s="172"/>
      <c r="U381" s="128"/>
      <c r="V381" s="172"/>
      <c r="W381" s="128"/>
      <c r="X381" s="172"/>
      <c r="Y381" s="128"/>
      <c r="Z381" s="172"/>
      <c r="AA381" s="128"/>
      <c r="AB381" s="172"/>
      <c r="AC381" s="128"/>
      <c r="AD381" s="172"/>
      <c r="AE381" s="128"/>
      <c r="AF381" s="172"/>
      <c r="AG381" s="128"/>
      <c r="AH381" s="172"/>
      <c r="AI381" s="128"/>
      <c r="AJ381" s="146"/>
      <c r="AK381" s="128"/>
      <c r="AL381" s="172"/>
      <c r="AM381" s="128"/>
      <c r="AN381" s="172"/>
    </row>
    <row r="382" spans="1:40" s="121" customFormat="1" ht="15" customHeight="1">
      <c r="A382" s="129" t="s">
        <v>961</v>
      </c>
      <c r="B382" s="129" t="s">
        <v>79</v>
      </c>
      <c r="C382" s="145">
        <v>199494</v>
      </c>
      <c r="D382" s="131">
        <v>9</v>
      </c>
      <c r="E382" s="128">
        <v>1168</v>
      </c>
      <c r="F382" s="172">
        <v>1216</v>
      </c>
      <c r="G382" s="128">
        <v>6336</v>
      </c>
      <c r="H382" s="172">
        <v>6752</v>
      </c>
      <c r="I382" s="128"/>
      <c r="J382" s="172"/>
      <c r="K382" s="128"/>
      <c r="L382" s="172"/>
      <c r="M382" s="128"/>
      <c r="N382" s="172"/>
      <c r="O382" s="128"/>
      <c r="P382" s="172"/>
      <c r="Q382" s="128"/>
      <c r="R382" s="172"/>
      <c r="S382" s="128"/>
      <c r="T382" s="172"/>
      <c r="U382" s="128"/>
      <c r="V382" s="172"/>
      <c r="W382" s="128"/>
      <c r="X382" s="172"/>
      <c r="Y382" s="128"/>
      <c r="Z382" s="172"/>
      <c r="AA382" s="128"/>
      <c r="AB382" s="172"/>
      <c r="AC382" s="128"/>
      <c r="AD382" s="172"/>
      <c r="AE382" s="128"/>
      <c r="AF382" s="172"/>
      <c r="AG382" s="128"/>
      <c r="AH382" s="172"/>
      <c r="AI382" s="128"/>
      <c r="AJ382" s="146"/>
      <c r="AK382" s="128"/>
      <c r="AL382" s="172"/>
      <c r="AM382" s="128"/>
      <c r="AN382" s="172"/>
    </row>
    <row r="383" spans="1:40" s="121" customFormat="1" ht="15" customHeight="1">
      <c r="A383" s="129" t="s">
        <v>961</v>
      </c>
      <c r="B383" s="129" t="s">
        <v>80</v>
      </c>
      <c r="C383" s="145">
        <v>199634</v>
      </c>
      <c r="D383" s="131">
        <v>9</v>
      </c>
      <c r="E383" s="128">
        <v>1164</v>
      </c>
      <c r="F383" s="172">
        <v>1245</v>
      </c>
      <c r="G383" s="128">
        <v>6332</v>
      </c>
      <c r="H383" s="172">
        <v>6752</v>
      </c>
      <c r="I383" s="128"/>
      <c r="J383" s="172"/>
      <c r="K383" s="128"/>
      <c r="L383" s="172"/>
      <c r="M383" s="128"/>
      <c r="N383" s="172"/>
      <c r="O383" s="128"/>
      <c r="P383" s="172"/>
      <c r="Q383" s="128"/>
      <c r="R383" s="172"/>
      <c r="S383" s="128"/>
      <c r="T383" s="172"/>
      <c r="U383" s="128"/>
      <c r="V383" s="172"/>
      <c r="W383" s="128"/>
      <c r="X383" s="172"/>
      <c r="Y383" s="128"/>
      <c r="Z383" s="172"/>
      <c r="AA383" s="128"/>
      <c r="AB383" s="172"/>
      <c r="AC383" s="128"/>
      <c r="AD383" s="172"/>
      <c r="AE383" s="128"/>
      <c r="AF383" s="172"/>
      <c r="AG383" s="128"/>
      <c r="AH383" s="172"/>
      <c r="AI383" s="128"/>
      <c r="AJ383" s="146"/>
      <c r="AK383" s="128"/>
      <c r="AL383" s="172"/>
      <c r="AM383" s="128"/>
      <c r="AN383" s="172"/>
    </row>
    <row r="384" spans="1:40" s="121" customFormat="1" ht="15" customHeight="1">
      <c r="A384" s="129" t="s">
        <v>961</v>
      </c>
      <c r="B384" s="129" t="s">
        <v>81</v>
      </c>
      <c r="C384" s="145">
        <v>199722</v>
      </c>
      <c r="D384" s="131">
        <v>9</v>
      </c>
      <c r="E384" s="128">
        <v>1156</v>
      </c>
      <c r="F384" s="172">
        <v>1256</v>
      </c>
      <c r="G384" s="128">
        <v>6324</v>
      </c>
      <c r="H384" s="172">
        <v>6752</v>
      </c>
      <c r="I384" s="128"/>
      <c r="J384" s="172"/>
      <c r="K384" s="128"/>
      <c r="L384" s="172"/>
      <c r="M384" s="128"/>
      <c r="N384" s="172"/>
      <c r="O384" s="128"/>
      <c r="P384" s="172"/>
      <c r="Q384" s="128"/>
      <c r="R384" s="172"/>
      <c r="S384" s="128"/>
      <c r="T384" s="172"/>
      <c r="U384" s="128"/>
      <c r="V384" s="172"/>
      <c r="W384" s="128"/>
      <c r="X384" s="172"/>
      <c r="Y384" s="128"/>
      <c r="Z384" s="172"/>
      <c r="AA384" s="128"/>
      <c r="AB384" s="172"/>
      <c r="AC384" s="128"/>
      <c r="AD384" s="172"/>
      <c r="AE384" s="128"/>
      <c r="AF384" s="172"/>
      <c r="AG384" s="128"/>
      <c r="AH384" s="172"/>
      <c r="AI384" s="128"/>
      <c r="AJ384" s="146"/>
      <c r="AK384" s="128"/>
      <c r="AL384" s="172"/>
      <c r="AM384" s="128"/>
      <c r="AN384" s="172"/>
    </row>
    <row r="385" spans="1:40" s="121" customFormat="1" ht="15" customHeight="1">
      <c r="A385" s="129" t="s">
        <v>961</v>
      </c>
      <c r="B385" s="129" t="s">
        <v>82</v>
      </c>
      <c r="C385" s="145">
        <v>199731</v>
      </c>
      <c r="D385" s="131">
        <v>9</v>
      </c>
      <c r="E385" s="128">
        <v>1168</v>
      </c>
      <c r="F385" s="172">
        <v>1261</v>
      </c>
      <c r="G385" s="128">
        <v>6336</v>
      </c>
      <c r="H385" s="172">
        <v>6752</v>
      </c>
      <c r="I385" s="128"/>
      <c r="J385" s="172"/>
      <c r="K385" s="128"/>
      <c r="L385" s="172"/>
      <c r="M385" s="128"/>
      <c r="N385" s="172"/>
      <c r="O385" s="128"/>
      <c r="P385" s="172"/>
      <c r="Q385" s="128"/>
      <c r="R385" s="172"/>
      <c r="S385" s="128"/>
      <c r="T385" s="172"/>
      <c r="U385" s="128"/>
      <c r="V385" s="172"/>
      <c r="W385" s="128"/>
      <c r="X385" s="172"/>
      <c r="Y385" s="128"/>
      <c r="Z385" s="172"/>
      <c r="AA385" s="128"/>
      <c r="AB385" s="172"/>
      <c r="AC385" s="128"/>
      <c r="AD385" s="172"/>
      <c r="AE385" s="128"/>
      <c r="AF385" s="172"/>
      <c r="AG385" s="128"/>
      <c r="AH385" s="172"/>
      <c r="AI385" s="128"/>
      <c r="AJ385" s="146"/>
      <c r="AK385" s="128"/>
      <c r="AL385" s="172"/>
      <c r="AM385" s="128"/>
      <c r="AN385" s="172"/>
    </row>
    <row r="386" spans="1:40" s="121" customFormat="1" ht="15" customHeight="1">
      <c r="A386" s="129" t="s">
        <v>961</v>
      </c>
      <c r="B386" s="129" t="s">
        <v>83</v>
      </c>
      <c r="C386" s="145">
        <v>199768</v>
      </c>
      <c r="D386" s="131">
        <v>9</v>
      </c>
      <c r="E386" s="128">
        <v>1168</v>
      </c>
      <c r="F386" s="172">
        <v>1280</v>
      </c>
      <c r="G386" s="128">
        <v>6336</v>
      </c>
      <c r="H386" s="172">
        <v>6816</v>
      </c>
      <c r="I386" s="128"/>
      <c r="J386" s="172"/>
      <c r="K386" s="128"/>
      <c r="L386" s="172"/>
      <c r="M386" s="128"/>
      <c r="N386" s="172"/>
      <c r="O386" s="128"/>
      <c r="P386" s="172"/>
      <c r="Q386" s="128"/>
      <c r="R386" s="172"/>
      <c r="S386" s="128"/>
      <c r="T386" s="172"/>
      <c r="U386" s="128"/>
      <c r="V386" s="172"/>
      <c r="W386" s="128"/>
      <c r="X386" s="172"/>
      <c r="Y386" s="128"/>
      <c r="Z386" s="172"/>
      <c r="AA386" s="128"/>
      <c r="AB386" s="172"/>
      <c r="AC386" s="128"/>
      <c r="AD386" s="172"/>
      <c r="AE386" s="128"/>
      <c r="AF386" s="172"/>
      <c r="AG386" s="128"/>
      <c r="AH386" s="172"/>
      <c r="AI386" s="128"/>
      <c r="AJ386" s="146"/>
      <c r="AK386" s="128"/>
      <c r="AL386" s="172"/>
      <c r="AM386" s="128"/>
      <c r="AN386" s="172"/>
    </row>
    <row r="387" spans="1:40" s="121" customFormat="1" ht="15" customHeight="1">
      <c r="A387" s="129" t="s">
        <v>961</v>
      </c>
      <c r="B387" s="129" t="s">
        <v>84</v>
      </c>
      <c r="C387" s="145">
        <v>199838</v>
      </c>
      <c r="D387" s="131">
        <v>9</v>
      </c>
      <c r="E387" s="128">
        <v>1174</v>
      </c>
      <c r="F387" s="172">
        <v>1255</v>
      </c>
      <c r="G387" s="128">
        <v>6342</v>
      </c>
      <c r="H387" s="172">
        <v>6752</v>
      </c>
      <c r="I387" s="128"/>
      <c r="J387" s="172"/>
      <c r="K387" s="128"/>
      <c r="L387" s="172"/>
      <c r="M387" s="128"/>
      <c r="N387" s="172"/>
      <c r="O387" s="128"/>
      <c r="P387" s="172"/>
      <c r="Q387" s="128"/>
      <c r="R387" s="172"/>
      <c r="S387" s="128"/>
      <c r="T387" s="172"/>
      <c r="U387" s="128"/>
      <c r="V387" s="172"/>
      <c r="W387" s="128"/>
      <c r="X387" s="172"/>
      <c r="Y387" s="128"/>
      <c r="Z387" s="172"/>
      <c r="AA387" s="128"/>
      <c r="AB387" s="172"/>
      <c r="AC387" s="128"/>
      <c r="AD387" s="172"/>
      <c r="AE387" s="128"/>
      <c r="AF387" s="172"/>
      <c r="AG387" s="128"/>
      <c r="AH387" s="172"/>
      <c r="AI387" s="128"/>
      <c r="AJ387" s="146"/>
      <c r="AK387" s="128"/>
      <c r="AL387" s="172"/>
      <c r="AM387" s="128"/>
      <c r="AN387" s="172"/>
    </row>
    <row r="388" spans="1:40" s="121" customFormat="1" ht="15" customHeight="1">
      <c r="A388" s="129" t="s">
        <v>961</v>
      </c>
      <c r="B388" s="129" t="s">
        <v>85</v>
      </c>
      <c r="C388" s="145">
        <v>199892</v>
      </c>
      <c r="D388" s="131">
        <v>9</v>
      </c>
      <c r="E388" s="128">
        <v>1168</v>
      </c>
      <c r="F388" s="172">
        <v>1400</v>
      </c>
      <c r="G388" s="128">
        <v>6336</v>
      </c>
      <c r="H388" s="172">
        <v>7628</v>
      </c>
      <c r="I388" s="128"/>
      <c r="J388" s="172"/>
      <c r="K388" s="128"/>
      <c r="L388" s="172"/>
      <c r="M388" s="128"/>
      <c r="N388" s="172"/>
      <c r="O388" s="128"/>
      <c r="P388" s="172"/>
      <c r="Q388" s="128"/>
      <c r="R388" s="172"/>
      <c r="S388" s="128"/>
      <c r="T388" s="172"/>
      <c r="U388" s="128"/>
      <c r="V388" s="172"/>
      <c r="W388" s="128"/>
      <c r="X388" s="172"/>
      <c r="Y388" s="128"/>
      <c r="Z388" s="172"/>
      <c r="AA388" s="128"/>
      <c r="AB388" s="172"/>
      <c r="AC388" s="128"/>
      <c r="AD388" s="172"/>
      <c r="AE388" s="128"/>
      <c r="AF388" s="172"/>
      <c r="AG388" s="128"/>
      <c r="AH388" s="172"/>
      <c r="AI388" s="128"/>
      <c r="AJ388" s="146"/>
      <c r="AK388" s="128"/>
      <c r="AL388" s="172"/>
      <c r="AM388" s="128"/>
      <c r="AN388" s="172"/>
    </row>
    <row r="389" spans="1:40" s="121" customFormat="1" ht="15" customHeight="1">
      <c r="A389" s="129" t="s">
        <v>961</v>
      </c>
      <c r="B389" s="129" t="s">
        <v>86</v>
      </c>
      <c r="C389" s="145">
        <v>199908</v>
      </c>
      <c r="D389" s="131">
        <v>9</v>
      </c>
      <c r="E389" s="128">
        <v>1160</v>
      </c>
      <c r="F389" s="172">
        <v>1243</v>
      </c>
      <c r="G389" s="128">
        <v>6328</v>
      </c>
      <c r="H389" s="172">
        <v>6779</v>
      </c>
      <c r="I389" s="128"/>
      <c r="J389" s="172"/>
      <c r="K389" s="128"/>
      <c r="L389" s="172"/>
      <c r="M389" s="128"/>
      <c r="N389" s="172"/>
      <c r="O389" s="128"/>
      <c r="P389" s="172"/>
      <c r="Q389" s="128"/>
      <c r="R389" s="172"/>
      <c r="S389" s="128"/>
      <c r="T389" s="172"/>
      <c r="U389" s="128"/>
      <c r="V389" s="172"/>
      <c r="W389" s="128"/>
      <c r="X389" s="172"/>
      <c r="Y389" s="128"/>
      <c r="Z389" s="172"/>
      <c r="AA389" s="128"/>
      <c r="AB389" s="172"/>
      <c r="AC389" s="128"/>
      <c r="AD389" s="172"/>
      <c r="AE389" s="128"/>
      <c r="AF389" s="172"/>
      <c r="AG389" s="128"/>
      <c r="AH389" s="172"/>
      <c r="AI389" s="128"/>
      <c r="AJ389" s="146"/>
      <c r="AK389" s="128"/>
      <c r="AL389" s="172"/>
      <c r="AM389" s="128"/>
      <c r="AN389" s="172"/>
    </row>
    <row r="390" spans="1:40" s="121" customFormat="1" ht="15" customHeight="1">
      <c r="A390" s="129" t="s">
        <v>961</v>
      </c>
      <c r="B390" s="129" t="s">
        <v>87</v>
      </c>
      <c r="C390" s="145">
        <v>199926</v>
      </c>
      <c r="D390" s="131">
        <v>9</v>
      </c>
      <c r="E390" s="128">
        <v>1170</v>
      </c>
      <c r="F390" s="172">
        <v>1273</v>
      </c>
      <c r="G390" s="128">
        <v>6338</v>
      </c>
      <c r="H390" s="172">
        <v>6809</v>
      </c>
      <c r="I390" s="128"/>
      <c r="J390" s="172"/>
      <c r="K390" s="128"/>
      <c r="L390" s="172"/>
      <c r="M390" s="128"/>
      <c r="N390" s="172"/>
      <c r="O390" s="128"/>
      <c r="P390" s="172"/>
      <c r="Q390" s="128"/>
      <c r="R390" s="172"/>
      <c r="S390" s="128"/>
      <c r="T390" s="172"/>
      <c r="U390" s="128"/>
      <c r="V390" s="172"/>
      <c r="W390" s="128"/>
      <c r="X390" s="172"/>
      <c r="Y390" s="128"/>
      <c r="Z390" s="172"/>
      <c r="AA390" s="128"/>
      <c r="AB390" s="172"/>
      <c r="AC390" s="128"/>
      <c r="AD390" s="172"/>
      <c r="AE390" s="128"/>
      <c r="AF390" s="172"/>
      <c r="AG390" s="128"/>
      <c r="AH390" s="172"/>
      <c r="AI390" s="128"/>
      <c r="AJ390" s="146"/>
      <c r="AK390" s="128"/>
      <c r="AL390" s="172"/>
      <c r="AM390" s="128"/>
      <c r="AN390" s="172"/>
    </row>
    <row r="391" spans="1:40" s="121" customFormat="1" ht="15" customHeight="1">
      <c r="A391" s="129" t="s">
        <v>961</v>
      </c>
      <c r="B391" s="129" t="s">
        <v>108</v>
      </c>
      <c r="C391" s="145">
        <v>199953</v>
      </c>
      <c r="D391" s="131">
        <v>9</v>
      </c>
      <c r="E391" s="128">
        <v>1170</v>
      </c>
      <c r="F391" s="172">
        <v>1254</v>
      </c>
      <c r="G391" s="128">
        <v>6338</v>
      </c>
      <c r="H391" s="172">
        <v>6790</v>
      </c>
      <c r="I391" s="128"/>
      <c r="J391" s="172"/>
      <c r="K391" s="128"/>
      <c r="L391" s="172"/>
      <c r="M391" s="128"/>
      <c r="N391" s="172"/>
      <c r="O391" s="128"/>
      <c r="P391" s="172"/>
      <c r="Q391" s="128"/>
      <c r="R391" s="172"/>
      <c r="S391" s="128"/>
      <c r="T391" s="172"/>
      <c r="U391" s="128"/>
      <c r="V391" s="172"/>
      <c r="W391" s="128"/>
      <c r="X391" s="172"/>
      <c r="Y391" s="128"/>
      <c r="Z391" s="172"/>
      <c r="AA391" s="128"/>
      <c r="AB391" s="172"/>
      <c r="AC391" s="128"/>
      <c r="AD391" s="172"/>
      <c r="AE391" s="128"/>
      <c r="AF391" s="172"/>
      <c r="AG391" s="128"/>
      <c r="AH391" s="172"/>
      <c r="AI391" s="128"/>
      <c r="AJ391" s="146"/>
      <c r="AK391" s="128"/>
      <c r="AL391" s="172"/>
      <c r="AM391" s="128"/>
      <c r="AN391" s="172"/>
    </row>
    <row r="392" spans="1:40" s="121" customFormat="1" ht="15" customHeight="1">
      <c r="A392" s="129" t="s">
        <v>961</v>
      </c>
      <c r="B392" s="129" t="s">
        <v>88</v>
      </c>
      <c r="C392" s="145">
        <v>197996</v>
      </c>
      <c r="D392" s="131">
        <v>10</v>
      </c>
      <c r="E392" s="128">
        <v>1164</v>
      </c>
      <c r="F392" s="172">
        <v>1244</v>
      </c>
      <c r="G392" s="128">
        <v>6332</v>
      </c>
      <c r="H392" s="172">
        <v>6780</v>
      </c>
      <c r="I392" s="128"/>
      <c r="J392" s="172"/>
      <c r="K392" s="128"/>
      <c r="L392" s="172"/>
      <c r="M392" s="128"/>
      <c r="N392" s="172"/>
      <c r="O392" s="128"/>
      <c r="P392" s="172"/>
      <c r="Q392" s="128"/>
      <c r="R392" s="172"/>
      <c r="S392" s="128"/>
      <c r="T392" s="172"/>
      <c r="U392" s="128"/>
      <c r="V392" s="172"/>
      <c r="W392" s="128"/>
      <c r="X392" s="172"/>
      <c r="Y392" s="128"/>
      <c r="Z392" s="172"/>
      <c r="AA392" s="128"/>
      <c r="AB392" s="172"/>
      <c r="AC392" s="128"/>
      <c r="AD392" s="172"/>
      <c r="AE392" s="128"/>
      <c r="AF392" s="172"/>
      <c r="AG392" s="128"/>
      <c r="AH392" s="172"/>
      <c r="AI392" s="128"/>
      <c r="AJ392" s="146"/>
      <c r="AK392" s="128"/>
      <c r="AL392" s="172"/>
      <c r="AM392" s="128"/>
      <c r="AN392" s="172"/>
    </row>
    <row r="393" spans="1:40" s="121" customFormat="1" ht="15" customHeight="1">
      <c r="A393" s="129" t="s">
        <v>961</v>
      </c>
      <c r="B393" s="129" t="s">
        <v>89</v>
      </c>
      <c r="C393" s="145">
        <v>198011</v>
      </c>
      <c r="D393" s="131">
        <v>10</v>
      </c>
      <c r="E393" s="128">
        <v>1155</v>
      </c>
      <c r="F393" s="172">
        <v>1216</v>
      </c>
      <c r="G393" s="128">
        <v>6323</v>
      </c>
      <c r="H393" s="172">
        <v>6752</v>
      </c>
      <c r="I393" s="128"/>
      <c r="J393" s="172"/>
      <c r="K393" s="128"/>
      <c r="L393" s="172"/>
      <c r="M393" s="128"/>
      <c r="N393" s="172"/>
      <c r="O393" s="128"/>
      <c r="P393" s="172"/>
      <c r="Q393" s="128"/>
      <c r="R393" s="172"/>
      <c r="S393" s="128"/>
      <c r="T393" s="172"/>
      <c r="U393" s="128"/>
      <c r="V393" s="172"/>
      <c r="W393" s="128"/>
      <c r="X393" s="172"/>
      <c r="Y393" s="128"/>
      <c r="Z393" s="172"/>
      <c r="AA393" s="128"/>
      <c r="AB393" s="172"/>
      <c r="AC393" s="128"/>
      <c r="AD393" s="172"/>
      <c r="AE393" s="128"/>
      <c r="AF393" s="172"/>
      <c r="AG393" s="128"/>
      <c r="AH393" s="172"/>
      <c r="AI393" s="128"/>
      <c r="AJ393" s="146"/>
      <c r="AK393" s="128"/>
      <c r="AL393" s="172"/>
      <c r="AM393" s="128"/>
      <c r="AN393" s="172"/>
    </row>
    <row r="394" spans="1:40" s="121" customFormat="1" ht="15" customHeight="1">
      <c r="A394" s="129" t="s">
        <v>961</v>
      </c>
      <c r="B394" s="129" t="s">
        <v>90</v>
      </c>
      <c r="C394" s="145">
        <v>198084</v>
      </c>
      <c r="D394" s="131">
        <v>10</v>
      </c>
      <c r="E394" s="128">
        <v>1155</v>
      </c>
      <c r="F394" s="172">
        <v>1217</v>
      </c>
      <c r="G394" s="128">
        <v>6323</v>
      </c>
      <c r="H394" s="172">
        <v>6752</v>
      </c>
      <c r="I394" s="128"/>
      <c r="J394" s="172"/>
      <c r="K394" s="128"/>
      <c r="L394" s="172"/>
      <c r="M394" s="128"/>
      <c r="N394" s="172"/>
      <c r="O394" s="128"/>
      <c r="P394" s="172"/>
      <c r="Q394" s="128"/>
      <c r="R394" s="172"/>
      <c r="S394" s="128"/>
      <c r="T394" s="172"/>
      <c r="U394" s="128"/>
      <c r="V394" s="172"/>
      <c r="W394" s="128"/>
      <c r="X394" s="172"/>
      <c r="Y394" s="128"/>
      <c r="Z394" s="172"/>
      <c r="AA394" s="128"/>
      <c r="AB394" s="172"/>
      <c r="AC394" s="128"/>
      <c r="AD394" s="172"/>
      <c r="AE394" s="128"/>
      <c r="AF394" s="172"/>
      <c r="AG394" s="128"/>
      <c r="AH394" s="172"/>
      <c r="AI394" s="128"/>
      <c r="AJ394" s="146"/>
      <c r="AK394" s="128"/>
      <c r="AL394" s="172"/>
      <c r="AM394" s="128"/>
      <c r="AN394" s="172"/>
    </row>
    <row r="395" spans="1:40" s="121" customFormat="1" ht="15" customHeight="1">
      <c r="A395" s="129" t="s">
        <v>961</v>
      </c>
      <c r="B395" s="129" t="s">
        <v>91</v>
      </c>
      <c r="C395" s="145">
        <v>198206</v>
      </c>
      <c r="D395" s="131">
        <v>10</v>
      </c>
      <c r="E395" s="128">
        <v>1148</v>
      </c>
      <c r="F395" s="172">
        <v>1277</v>
      </c>
      <c r="G395" s="128">
        <v>6316</v>
      </c>
      <c r="H395" s="172">
        <v>6813</v>
      </c>
      <c r="I395" s="128"/>
      <c r="J395" s="172"/>
      <c r="K395" s="128"/>
      <c r="L395" s="172"/>
      <c r="M395" s="128"/>
      <c r="N395" s="172"/>
      <c r="O395" s="128"/>
      <c r="P395" s="172"/>
      <c r="Q395" s="128"/>
      <c r="R395" s="172"/>
      <c r="S395" s="128"/>
      <c r="T395" s="172"/>
      <c r="U395" s="128"/>
      <c r="V395" s="172"/>
      <c r="W395" s="128"/>
      <c r="X395" s="172"/>
      <c r="Y395" s="128"/>
      <c r="Z395" s="172"/>
      <c r="AA395" s="128"/>
      <c r="AB395" s="172"/>
      <c r="AC395" s="128"/>
      <c r="AD395" s="172"/>
      <c r="AE395" s="128"/>
      <c r="AF395" s="172"/>
      <c r="AG395" s="128"/>
      <c r="AH395" s="172"/>
      <c r="AI395" s="128"/>
      <c r="AJ395" s="146"/>
      <c r="AK395" s="128"/>
      <c r="AL395" s="172"/>
      <c r="AM395" s="128"/>
      <c r="AN395" s="172"/>
    </row>
    <row r="396" spans="1:40" s="121" customFormat="1" ht="15" customHeight="1">
      <c r="A396" s="129" t="s">
        <v>961</v>
      </c>
      <c r="B396" s="129" t="s">
        <v>93</v>
      </c>
      <c r="C396" s="145">
        <v>198640</v>
      </c>
      <c r="D396" s="131">
        <v>10</v>
      </c>
      <c r="E396" s="128">
        <v>1156</v>
      </c>
      <c r="F396" s="172">
        <v>1296</v>
      </c>
      <c r="G396" s="128">
        <v>6324</v>
      </c>
      <c r="H396" s="172">
        <v>6832</v>
      </c>
      <c r="I396" s="128"/>
      <c r="J396" s="172"/>
      <c r="K396" s="128"/>
      <c r="L396" s="172"/>
      <c r="M396" s="128"/>
      <c r="N396" s="172"/>
      <c r="O396" s="128"/>
      <c r="P396" s="172"/>
      <c r="Q396" s="128"/>
      <c r="R396" s="172"/>
      <c r="S396" s="128"/>
      <c r="T396" s="172"/>
      <c r="U396" s="128"/>
      <c r="V396" s="172"/>
      <c r="W396" s="128"/>
      <c r="X396" s="172"/>
      <c r="Y396" s="128"/>
      <c r="Z396" s="172"/>
      <c r="AA396" s="128"/>
      <c r="AB396" s="172"/>
      <c r="AC396" s="128"/>
      <c r="AD396" s="172"/>
      <c r="AE396" s="128"/>
      <c r="AF396" s="172"/>
      <c r="AG396" s="128"/>
      <c r="AH396" s="172"/>
      <c r="AI396" s="128"/>
      <c r="AJ396" s="146"/>
      <c r="AK396" s="128"/>
      <c r="AL396" s="172"/>
      <c r="AM396" s="128"/>
      <c r="AN396" s="172"/>
    </row>
    <row r="397" spans="1:40" s="121" customFormat="1" ht="15" customHeight="1">
      <c r="A397" s="129" t="s">
        <v>961</v>
      </c>
      <c r="B397" s="129" t="s">
        <v>94</v>
      </c>
      <c r="C397" s="145">
        <v>198668</v>
      </c>
      <c r="D397" s="131">
        <v>10</v>
      </c>
      <c r="E397" s="128">
        <v>1174</v>
      </c>
      <c r="F397" s="172">
        <v>1216</v>
      </c>
      <c r="G397" s="128">
        <v>6342</v>
      </c>
      <c r="H397" s="172">
        <v>6752</v>
      </c>
      <c r="I397" s="128"/>
      <c r="J397" s="172"/>
      <c r="K397" s="128"/>
      <c r="L397" s="172"/>
      <c r="M397" s="128"/>
      <c r="N397" s="172"/>
      <c r="O397" s="128"/>
      <c r="P397" s="172"/>
      <c r="Q397" s="128"/>
      <c r="R397" s="172"/>
      <c r="S397" s="128"/>
      <c r="T397" s="172"/>
      <c r="U397" s="128"/>
      <c r="V397" s="172"/>
      <c r="W397" s="128"/>
      <c r="X397" s="172"/>
      <c r="Y397" s="128"/>
      <c r="Z397" s="172"/>
      <c r="AA397" s="128"/>
      <c r="AB397" s="172"/>
      <c r="AC397" s="128"/>
      <c r="AD397" s="172"/>
      <c r="AE397" s="128"/>
      <c r="AF397" s="172"/>
      <c r="AG397" s="128"/>
      <c r="AH397" s="172"/>
      <c r="AI397" s="128"/>
      <c r="AJ397" s="146"/>
      <c r="AK397" s="128"/>
      <c r="AL397" s="172"/>
      <c r="AM397" s="128"/>
      <c r="AN397" s="172"/>
    </row>
    <row r="398" spans="1:40" s="121" customFormat="1" ht="15" customHeight="1">
      <c r="A398" s="129" t="s">
        <v>961</v>
      </c>
      <c r="B398" s="129" t="s">
        <v>96</v>
      </c>
      <c r="C398" s="145">
        <v>198729</v>
      </c>
      <c r="D398" s="131">
        <v>10</v>
      </c>
      <c r="E398" s="128">
        <v>1174</v>
      </c>
      <c r="F398" s="172">
        <v>1286</v>
      </c>
      <c r="G398" s="128">
        <v>6342</v>
      </c>
      <c r="H398" s="172">
        <v>6822</v>
      </c>
      <c r="I398" s="128"/>
      <c r="J398" s="172"/>
      <c r="K398" s="128"/>
      <c r="L398" s="172"/>
      <c r="M398" s="128"/>
      <c r="N398" s="172"/>
      <c r="O398" s="128"/>
      <c r="P398" s="172"/>
      <c r="Q398" s="128"/>
      <c r="R398" s="172"/>
      <c r="S398" s="128"/>
      <c r="T398" s="172"/>
      <c r="U398" s="128"/>
      <c r="V398" s="172"/>
      <c r="W398" s="128"/>
      <c r="X398" s="172"/>
      <c r="Y398" s="128"/>
      <c r="Z398" s="172"/>
      <c r="AA398" s="128"/>
      <c r="AB398" s="172"/>
      <c r="AC398" s="128"/>
      <c r="AD398" s="172"/>
      <c r="AE398" s="128"/>
      <c r="AF398" s="172"/>
      <c r="AG398" s="128"/>
      <c r="AH398" s="172"/>
      <c r="AI398" s="128"/>
      <c r="AJ398" s="146"/>
      <c r="AK398" s="128"/>
      <c r="AL398" s="172"/>
      <c r="AM398" s="128"/>
      <c r="AN398" s="172"/>
    </row>
    <row r="399" spans="1:40" s="121" customFormat="1" ht="15" customHeight="1">
      <c r="A399" s="129" t="s">
        <v>961</v>
      </c>
      <c r="B399" s="129" t="s">
        <v>97</v>
      </c>
      <c r="C399" s="145">
        <v>198905</v>
      </c>
      <c r="D399" s="131">
        <v>10</v>
      </c>
      <c r="E399" s="128">
        <v>1174</v>
      </c>
      <c r="F399" s="172">
        <v>1254</v>
      </c>
      <c r="G399" s="128">
        <v>6342</v>
      </c>
      <c r="H399" s="172">
        <v>6790</v>
      </c>
      <c r="I399" s="128"/>
      <c r="J399" s="172"/>
      <c r="K399" s="128"/>
      <c r="L399" s="172"/>
      <c r="M399" s="128"/>
      <c r="N399" s="172"/>
      <c r="O399" s="128"/>
      <c r="P399" s="172"/>
      <c r="Q399" s="128"/>
      <c r="R399" s="172"/>
      <c r="S399" s="128"/>
      <c r="T399" s="172"/>
      <c r="U399" s="128"/>
      <c r="V399" s="172"/>
      <c r="W399" s="128"/>
      <c r="X399" s="172"/>
      <c r="Y399" s="128"/>
      <c r="Z399" s="172"/>
      <c r="AA399" s="128"/>
      <c r="AB399" s="172"/>
      <c r="AC399" s="128"/>
      <c r="AD399" s="172"/>
      <c r="AE399" s="128"/>
      <c r="AF399" s="172"/>
      <c r="AG399" s="128"/>
      <c r="AH399" s="172"/>
      <c r="AI399" s="128"/>
      <c r="AJ399" s="146"/>
      <c r="AK399" s="128"/>
      <c r="AL399" s="172"/>
      <c r="AM399" s="128"/>
      <c r="AN399" s="172"/>
    </row>
    <row r="400" spans="1:40" s="121" customFormat="1" ht="15" customHeight="1">
      <c r="A400" s="129" t="s">
        <v>961</v>
      </c>
      <c r="B400" s="129" t="s">
        <v>98</v>
      </c>
      <c r="C400" s="145">
        <v>198914</v>
      </c>
      <c r="D400" s="131">
        <v>10</v>
      </c>
      <c r="E400" s="128">
        <v>1168</v>
      </c>
      <c r="F400" s="172">
        <v>1229</v>
      </c>
      <c r="G400" s="128">
        <v>6336</v>
      </c>
      <c r="H400" s="172">
        <v>6782</v>
      </c>
      <c r="I400" s="128"/>
      <c r="J400" s="172"/>
      <c r="K400" s="128"/>
      <c r="L400" s="172"/>
      <c r="M400" s="128"/>
      <c r="N400" s="172"/>
      <c r="O400" s="128"/>
      <c r="P400" s="172"/>
      <c r="Q400" s="128"/>
      <c r="R400" s="172"/>
      <c r="S400" s="128"/>
      <c r="T400" s="172"/>
      <c r="U400" s="128"/>
      <c r="V400" s="172"/>
      <c r="W400" s="128"/>
      <c r="X400" s="172"/>
      <c r="Y400" s="128"/>
      <c r="Z400" s="172"/>
      <c r="AA400" s="128"/>
      <c r="AB400" s="172"/>
      <c r="AC400" s="128"/>
      <c r="AD400" s="172"/>
      <c r="AE400" s="128"/>
      <c r="AF400" s="172"/>
      <c r="AG400" s="128"/>
      <c r="AH400" s="172"/>
      <c r="AI400" s="128"/>
      <c r="AJ400" s="146"/>
      <c r="AK400" s="128"/>
      <c r="AL400" s="172"/>
      <c r="AM400" s="128"/>
      <c r="AN400" s="172"/>
    </row>
    <row r="401" spans="1:40" s="121" customFormat="1" ht="15" customHeight="1">
      <c r="A401" s="129" t="s">
        <v>961</v>
      </c>
      <c r="B401" s="129" t="s">
        <v>99</v>
      </c>
      <c r="C401" s="145">
        <v>198923</v>
      </c>
      <c r="D401" s="131">
        <v>10</v>
      </c>
      <c r="E401" s="128">
        <v>1151</v>
      </c>
      <c r="F401" s="172">
        <v>1313</v>
      </c>
      <c r="G401" s="128">
        <v>6319</v>
      </c>
      <c r="H401" s="172">
        <v>7022</v>
      </c>
      <c r="I401" s="128"/>
      <c r="J401" s="172"/>
      <c r="K401" s="128"/>
      <c r="L401" s="172"/>
      <c r="M401" s="128"/>
      <c r="N401" s="172"/>
      <c r="O401" s="128"/>
      <c r="P401" s="172"/>
      <c r="Q401" s="128"/>
      <c r="R401" s="172"/>
      <c r="S401" s="128"/>
      <c r="T401" s="172"/>
      <c r="U401" s="128"/>
      <c r="V401" s="172"/>
      <c r="W401" s="128"/>
      <c r="X401" s="172"/>
      <c r="Y401" s="128"/>
      <c r="Z401" s="172"/>
      <c r="AA401" s="128"/>
      <c r="AB401" s="172"/>
      <c r="AC401" s="128"/>
      <c r="AD401" s="172"/>
      <c r="AE401" s="128"/>
      <c r="AF401" s="172"/>
      <c r="AG401" s="128"/>
      <c r="AH401" s="172"/>
      <c r="AI401" s="128"/>
      <c r="AJ401" s="146"/>
      <c r="AK401" s="128"/>
      <c r="AL401" s="172"/>
      <c r="AM401" s="128"/>
      <c r="AN401" s="172"/>
    </row>
    <row r="402" spans="1:40" s="121" customFormat="1" ht="15" customHeight="1">
      <c r="A402" s="129" t="s">
        <v>961</v>
      </c>
      <c r="B402" s="129" t="s">
        <v>100</v>
      </c>
      <c r="C402" s="145">
        <v>199023</v>
      </c>
      <c r="D402" s="131">
        <v>10</v>
      </c>
      <c r="E402" s="128">
        <v>1155</v>
      </c>
      <c r="F402" s="172">
        <v>1328</v>
      </c>
      <c r="G402" s="128">
        <v>6323</v>
      </c>
      <c r="H402" s="172">
        <v>6864</v>
      </c>
      <c r="I402" s="128"/>
      <c r="J402" s="172"/>
      <c r="K402" s="128"/>
      <c r="L402" s="172"/>
      <c r="M402" s="128"/>
      <c r="N402" s="172"/>
      <c r="O402" s="128"/>
      <c r="P402" s="172"/>
      <c r="Q402" s="128"/>
      <c r="R402" s="172"/>
      <c r="S402" s="128"/>
      <c r="T402" s="172"/>
      <c r="U402" s="128"/>
      <c r="V402" s="172"/>
      <c r="W402" s="128"/>
      <c r="X402" s="172"/>
      <c r="Y402" s="128"/>
      <c r="Z402" s="172"/>
      <c r="AA402" s="128"/>
      <c r="AB402" s="172"/>
      <c r="AC402" s="128"/>
      <c r="AD402" s="172"/>
      <c r="AE402" s="128"/>
      <c r="AF402" s="172"/>
      <c r="AG402" s="128"/>
      <c r="AH402" s="172"/>
      <c r="AI402" s="128"/>
      <c r="AJ402" s="146"/>
      <c r="AK402" s="128"/>
      <c r="AL402" s="172"/>
      <c r="AM402" s="128"/>
      <c r="AN402" s="172"/>
    </row>
    <row r="403" spans="1:40" s="121" customFormat="1" ht="15" customHeight="1">
      <c r="A403" s="129" t="s">
        <v>961</v>
      </c>
      <c r="B403" s="129" t="s">
        <v>101</v>
      </c>
      <c r="C403" s="145">
        <v>199263</v>
      </c>
      <c r="D403" s="131">
        <v>10</v>
      </c>
      <c r="E403" s="128">
        <v>1151</v>
      </c>
      <c r="F403" s="172">
        <v>1216</v>
      </c>
      <c r="G403" s="128">
        <v>6319</v>
      </c>
      <c r="H403" s="172">
        <v>6752</v>
      </c>
      <c r="I403" s="128"/>
      <c r="J403" s="172"/>
      <c r="K403" s="128"/>
      <c r="L403" s="172"/>
      <c r="M403" s="128"/>
      <c r="N403" s="172"/>
      <c r="O403" s="128"/>
      <c r="P403" s="172"/>
      <c r="Q403" s="128"/>
      <c r="R403" s="172"/>
      <c r="S403" s="128"/>
      <c r="T403" s="172"/>
      <c r="U403" s="128"/>
      <c r="V403" s="172"/>
      <c r="W403" s="128"/>
      <c r="X403" s="172"/>
      <c r="Y403" s="128"/>
      <c r="Z403" s="172"/>
      <c r="AA403" s="128"/>
      <c r="AB403" s="172"/>
      <c r="AC403" s="128"/>
      <c r="AD403" s="172"/>
      <c r="AE403" s="128"/>
      <c r="AF403" s="172"/>
      <c r="AG403" s="128"/>
      <c r="AH403" s="172"/>
      <c r="AI403" s="128"/>
      <c r="AJ403" s="146"/>
      <c r="AK403" s="128"/>
      <c r="AL403" s="172"/>
      <c r="AM403" s="128"/>
      <c r="AN403" s="172"/>
    </row>
    <row r="404" spans="1:40" s="121" customFormat="1" ht="15" customHeight="1">
      <c r="A404" s="129" t="s">
        <v>961</v>
      </c>
      <c r="B404" s="129" t="s">
        <v>103</v>
      </c>
      <c r="C404" s="145">
        <v>199467</v>
      </c>
      <c r="D404" s="131">
        <v>10</v>
      </c>
      <c r="E404" s="128">
        <v>1170</v>
      </c>
      <c r="F404" s="172">
        <v>1286</v>
      </c>
      <c r="G404" s="128">
        <v>6338</v>
      </c>
      <c r="H404" s="172">
        <v>6822</v>
      </c>
      <c r="I404" s="128"/>
      <c r="J404" s="172"/>
      <c r="K404" s="128"/>
      <c r="L404" s="172"/>
      <c r="M404" s="128"/>
      <c r="N404" s="172"/>
      <c r="O404" s="128"/>
      <c r="P404" s="172"/>
      <c r="Q404" s="128"/>
      <c r="R404" s="172"/>
      <c r="S404" s="128"/>
      <c r="T404" s="172"/>
      <c r="U404" s="128"/>
      <c r="V404" s="172"/>
      <c r="W404" s="128"/>
      <c r="X404" s="172"/>
      <c r="Y404" s="128"/>
      <c r="Z404" s="172"/>
      <c r="AA404" s="128"/>
      <c r="AB404" s="172"/>
      <c r="AC404" s="128"/>
      <c r="AD404" s="172"/>
      <c r="AE404" s="128"/>
      <c r="AF404" s="172"/>
      <c r="AG404" s="128"/>
      <c r="AH404" s="172"/>
      <c r="AI404" s="128"/>
      <c r="AJ404" s="146"/>
      <c r="AK404" s="128"/>
      <c r="AL404" s="172"/>
      <c r="AM404" s="128"/>
      <c r="AN404" s="172"/>
    </row>
    <row r="405" spans="1:40" s="121" customFormat="1" ht="15" customHeight="1">
      <c r="A405" s="129" t="s">
        <v>961</v>
      </c>
      <c r="B405" s="129" t="s">
        <v>104</v>
      </c>
      <c r="C405" s="145">
        <v>199625</v>
      </c>
      <c r="D405" s="131">
        <v>10</v>
      </c>
      <c r="E405" s="128">
        <v>1160</v>
      </c>
      <c r="F405" s="172">
        <v>1284</v>
      </c>
      <c r="G405" s="128">
        <v>6328</v>
      </c>
      <c r="H405" s="172">
        <v>6820</v>
      </c>
      <c r="I405" s="128"/>
      <c r="J405" s="172"/>
      <c r="K405" s="128"/>
      <c r="L405" s="172"/>
      <c r="M405" s="128"/>
      <c r="N405" s="172"/>
      <c r="O405" s="128"/>
      <c r="P405" s="172"/>
      <c r="Q405" s="128"/>
      <c r="R405" s="172"/>
      <c r="S405" s="128"/>
      <c r="T405" s="172"/>
      <c r="U405" s="128"/>
      <c r="V405" s="172"/>
      <c r="W405" s="128"/>
      <c r="X405" s="172"/>
      <c r="Y405" s="128"/>
      <c r="Z405" s="172"/>
      <c r="AA405" s="128"/>
      <c r="AB405" s="172"/>
      <c r="AC405" s="128"/>
      <c r="AD405" s="172"/>
      <c r="AE405" s="128"/>
      <c r="AF405" s="172"/>
      <c r="AG405" s="128"/>
      <c r="AH405" s="172"/>
      <c r="AI405" s="128"/>
      <c r="AJ405" s="146"/>
      <c r="AK405" s="128"/>
      <c r="AL405" s="172"/>
      <c r="AM405" s="128"/>
      <c r="AN405" s="172"/>
    </row>
    <row r="406" spans="1:40" s="121" customFormat="1" ht="15" customHeight="1">
      <c r="A406" s="129" t="s">
        <v>961</v>
      </c>
      <c r="B406" s="129" t="s">
        <v>105</v>
      </c>
      <c r="C406" s="145">
        <v>197850</v>
      </c>
      <c r="D406" s="131">
        <v>10</v>
      </c>
      <c r="E406" s="128">
        <v>1168</v>
      </c>
      <c r="F406" s="172">
        <v>1271</v>
      </c>
      <c r="G406" s="128">
        <v>6336</v>
      </c>
      <c r="H406" s="172">
        <v>6806</v>
      </c>
      <c r="I406" s="128"/>
      <c r="J406" s="172"/>
      <c r="K406" s="128"/>
      <c r="L406" s="172"/>
      <c r="M406" s="128"/>
      <c r="N406" s="172"/>
      <c r="O406" s="128"/>
      <c r="P406" s="172"/>
      <c r="Q406" s="128"/>
      <c r="R406" s="172"/>
      <c r="S406" s="128"/>
      <c r="T406" s="172"/>
      <c r="U406" s="128"/>
      <c r="V406" s="172"/>
      <c r="W406" s="128"/>
      <c r="X406" s="172"/>
      <c r="Y406" s="128"/>
      <c r="Z406" s="172"/>
      <c r="AA406" s="128"/>
      <c r="AB406" s="172"/>
      <c r="AC406" s="128"/>
      <c r="AD406" s="172"/>
      <c r="AE406" s="128"/>
      <c r="AF406" s="172"/>
      <c r="AG406" s="128"/>
      <c r="AH406" s="172"/>
      <c r="AI406" s="128"/>
      <c r="AJ406" s="146"/>
      <c r="AK406" s="128"/>
      <c r="AL406" s="172"/>
      <c r="AM406" s="128"/>
      <c r="AN406" s="172"/>
    </row>
    <row r="407" spans="1:40" s="121" customFormat="1" ht="15" customHeight="1">
      <c r="A407" s="129" t="s">
        <v>961</v>
      </c>
      <c r="B407" s="129" t="s">
        <v>106</v>
      </c>
      <c r="C407" s="145">
        <v>199740</v>
      </c>
      <c r="D407" s="131">
        <v>10</v>
      </c>
      <c r="E407" s="128">
        <v>1174</v>
      </c>
      <c r="F407" s="172">
        <v>1306</v>
      </c>
      <c r="G407" s="128">
        <v>6342</v>
      </c>
      <c r="H407" s="172">
        <v>6842</v>
      </c>
      <c r="I407" s="128"/>
      <c r="J407" s="172"/>
      <c r="K407" s="128"/>
      <c r="L407" s="172"/>
      <c r="M407" s="128"/>
      <c r="N407" s="172"/>
      <c r="O407" s="128"/>
      <c r="P407" s="172"/>
      <c r="Q407" s="128"/>
      <c r="R407" s="172"/>
      <c r="S407" s="128"/>
      <c r="T407" s="172"/>
      <c r="U407" s="128"/>
      <c r="V407" s="172"/>
      <c r="W407" s="128"/>
      <c r="X407" s="172"/>
      <c r="Y407" s="128"/>
      <c r="Z407" s="172"/>
      <c r="AA407" s="128"/>
      <c r="AB407" s="172"/>
      <c r="AC407" s="128"/>
      <c r="AD407" s="172"/>
      <c r="AE407" s="128"/>
      <c r="AF407" s="172"/>
      <c r="AG407" s="128"/>
      <c r="AH407" s="172"/>
      <c r="AI407" s="128"/>
      <c r="AJ407" s="146"/>
      <c r="AK407" s="128"/>
      <c r="AL407" s="172"/>
      <c r="AM407" s="128"/>
      <c r="AN407" s="172"/>
    </row>
    <row r="408" spans="1:40" s="121" customFormat="1" ht="15" customHeight="1">
      <c r="A408" s="129" t="s">
        <v>961</v>
      </c>
      <c r="B408" s="129" t="s">
        <v>107</v>
      </c>
      <c r="C408" s="145">
        <v>199795</v>
      </c>
      <c r="D408" s="131">
        <v>10</v>
      </c>
      <c r="E408" s="128">
        <v>1152</v>
      </c>
      <c r="F408" s="172">
        <v>1274</v>
      </c>
      <c r="G408" s="128">
        <v>6320</v>
      </c>
      <c r="H408" s="172">
        <v>6810</v>
      </c>
      <c r="I408" s="128"/>
      <c r="J408" s="172"/>
      <c r="K408" s="128"/>
      <c r="L408" s="172"/>
      <c r="M408" s="128"/>
      <c r="N408" s="172"/>
      <c r="O408" s="128"/>
      <c r="P408" s="172"/>
      <c r="Q408" s="128"/>
      <c r="R408" s="172"/>
      <c r="S408" s="128"/>
      <c r="T408" s="172"/>
      <c r="U408" s="128"/>
      <c r="V408" s="172"/>
      <c r="W408" s="128"/>
      <c r="X408" s="172"/>
      <c r="Y408" s="128"/>
      <c r="Z408" s="172"/>
      <c r="AA408" s="128"/>
      <c r="AB408" s="172"/>
      <c r="AC408" s="128"/>
      <c r="AD408" s="172"/>
      <c r="AE408" s="128"/>
      <c r="AF408" s="172"/>
      <c r="AG408" s="128"/>
      <c r="AH408" s="172"/>
      <c r="AI408" s="128"/>
      <c r="AJ408" s="146"/>
      <c r="AK408" s="128"/>
      <c r="AL408" s="172"/>
      <c r="AM408" s="128"/>
      <c r="AN408" s="172"/>
    </row>
    <row r="409" spans="1:40" s="121" customFormat="1" ht="15" customHeight="1">
      <c r="A409" s="110" t="s">
        <v>1034</v>
      </c>
      <c r="B409" s="110" t="s">
        <v>125</v>
      </c>
      <c r="C409" s="113">
        <v>207388</v>
      </c>
      <c r="D409" s="112">
        <v>1</v>
      </c>
      <c r="E409" s="128">
        <v>3814.4</v>
      </c>
      <c r="F409" s="146">
        <v>4080</v>
      </c>
      <c r="G409" s="128">
        <v>9760.4</v>
      </c>
      <c r="H409" s="146">
        <v>11370</v>
      </c>
      <c r="I409" s="128">
        <v>3751.92</v>
      </c>
      <c r="J409" s="146">
        <v>3960</v>
      </c>
      <c r="K409" s="128">
        <v>10345.92</v>
      </c>
      <c r="L409" s="146">
        <v>11520</v>
      </c>
      <c r="M409" s="128"/>
      <c r="N409" s="146"/>
      <c r="O409" s="128"/>
      <c r="P409" s="146"/>
      <c r="Q409" s="128"/>
      <c r="R409" s="146"/>
      <c r="S409" s="128"/>
      <c r="T409" s="146"/>
      <c r="U409" s="128"/>
      <c r="V409" s="146"/>
      <c r="W409" s="128"/>
      <c r="X409" s="146"/>
      <c r="Y409" s="128"/>
      <c r="Z409" s="146"/>
      <c r="AA409" s="128"/>
      <c r="AB409" s="146"/>
      <c r="AC409" s="128"/>
      <c r="AD409" s="146"/>
      <c r="AE409" s="128"/>
      <c r="AF409" s="146"/>
      <c r="AG409" s="128">
        <v>14199</v>
      </c>
      <c r="AH409" s="146">
        <v>15888</v>
      </c>
      <c r="AI409" s="128">
        <v>30581.3</v>
      </c>
      <c r="AJ409" s="146">
        <v>30113</v>
      </c>
      <c r="AK409" s="128">
        <v>9594.65</v>
      </c>
      <c r="AL409" s="146">
        <v>10674</v>
      </c>
      <c r="AM409" s="128">
        <v>25739.79</v>
      </c>
      <c r="AN409" s="146">
        <v>26820</v>
      </c>
    </row>
    <row r="410" spans="1:40" s="121" customFormat="1" ht="15" customHeight="1">
      <c r="A410" s="110" t="s">
        <v>1034</v>
      </c>
      <c r="B410" s="110" t="s">
        <v>126</v>
      </c>
      <c r="C410" s="113" t="s">
        <v>127</v>
      </c>
      <c r="D410" s="112">
        <v>1</v>
      </c>
      <c r="E410" s="128">
        <v>3660</v>
      </c>
      <c r="F410" s="146">
        <v>4140</v>
      </c>
      <c r="G410" s="128">
        <v>9789</v>
      </c>
      <c r="H410" s="146">
        <v>11670</v>
      </c>
      <c r="I410" s="128">
        <v>3727</v>
      </c>
      <c r="J410" s="146">
        <v>4032</v>
      </c>
      <c r="K410" s="128">
        <v>10523.8</v>
      </c>
      <c r="L410" s="146">
        <v>11424</v>
      </c>
      <c r="M410" s="128">
        <v>7771</v>
      </c>
      <c r="N410" s="146">
        <v>9670</v>
      </c>
      <c r="O410" s="128">
        <v>17699.5</v>
      </c>
      <c r="P410" s="146">
        <v>19599</v>
      </c>
      <c r="Q410" s="128">
        <v>14790.8</v>
      </c>
      <c r="R410" s="146">
        <v>16339</v>
      </c>
      <c r="S410" s="128">
        <v>35167.9</v>
      </c>
      <c r="T410" s="146">
        <v>37577</v>
      </c>
      <c r="U410" s="128">
        <v>11993.24</v>
      </c>
      <c r="V410" s="146">
        <v>13455</v>
      </c>
      <c r="W410" s="128">
        <v>30505.26</v>
      </c>
      <c r="X410" s="146">
        <v>32153</v>
      </c>
      <c r="Y410" s="128">
        <v>8026.9</v>
      </c>
      <c r="Z410" s="146">
        <v>9885</v>
      </c>
      <c r="AA410" s="128">
        <v>18955.14</v>
      </c>
      <c r="AB410" s="146">
        <v>21603</v>
      </c>
      <c r="AC410" s="128"/>
      <c r="AD410" s="146"/>
      <c r="AE410" s="128"/>
      <c r="AF410" s="146"/>
      <c r="AG410" s="128"/>
      <c r="AH410" s="146"/>
      <c r="AI410" s="128"/>
      <c r="AJ410" s="146"/>
      <c r="AK410" s="128"/>
      <c r="AL410" s="146"/>
      <c r="AM410" s="128"/>
      <c r="AN410" s="146"/>
    </row>
    <row r="411" spans="1:40" s="121" customFormat="1" ht="15" customHeight="1">
      <c r="A411" s="110" t="s">
        <v>1034</v>
      </c>
      <c r="B411" s="110" t="s">
        <v>128</v>
      </c>
      <c r="C411" s="113" t="s">
        <v>129</v>
      </c>
      <c r="D411" s="112">
        <v>3</v>
      </c>
      <c r="E411" s="128">
        <v>2713.5</v>
      </c>
      <c r="F411" s="146">
        <v>3011</v>
      </c>
      <c r="G411" s="128">
        <v>6613.5</v>
      </c>
      <c r="H411" s="146">
        <v>7590</v>
      </c>
      <c r="I411" s="128">
        <v>2668.5</v>
      </c>
      <c r="J411" s="146">
        <v>3072</v>
      </c>
      <c r="K411" s="128">
        <v>6388.8</v>
      </c>
      <c r="L411" s="146">
        <v>7416</v>
      </c>
      <c r="M411" s="128"/>
      <c r="N411" s="146"/>
      <c r="O411" s="128"/>
      <c r="P411" s="146"/>
      <c r="Q411" s="128"/>
      <c r="R411" s="146"/>
      <c r="S411" s="128"/>
      <c r="T411" s="146"/>
      <c r="U411" s="128"/>
      <c r="V411" s="146"/>
      <c r="W411" s="128"/>
      <c r="X411" s="146"/>
      <c r="Y411" s="128"/>
      <c r="Z411" s="146"/>
      <c r="AA411" s="128"/>
      <c r="AB411" s="146"/>
      <c r="AC411" s="128"/>
      <c r="AD411" s="146"/>
      <c r="AE411" s="128"/>
      <c r="AF411" s="146"/>
      <c r="AG411" s="128"/>
      <c r="AH411" s="146"/>
      <c r="AI411" s="128"/>
      <c r="AJ411" s="146"/>
      <c r="AK411" s="128"/>
      <c r="AL411" s="146"/>
      <c r="AM411" s="128"/>
      <c r="AN411" s="146"/>
    </row>
    <row r="412" spans="1:40" s="121" customFormat="1" ht="15" customHeight="1">
      <c r="A412" s="110" t="s">
        <v>1034</v>
      </c>
      <c r="B412" s="110" t="s">
        <v>130</v>
      </c>
      <c r="C412" s="113" t="s">
        <v>131</v>
      </c>
      <c r="D412" s="112">
        <v>4</v>
      </c>
      <c r="E412" s="128">
        <v>2700</v>
      </c>
      <c r="F412" s="146">
        <v>3000</v>
      </c>
      <c r="G412" s="128">
        <v>6600</v>
      </c>
      <c r="H412" s="146">
        <v>7350</v>
      </c>
      <c r="I412" s="128">
        <v>2647.2</v>
      </c>
      <c r="J412" s="146">
        <v>2928</v>
      </c>
      <c r="K412" s="128">
        <v>6367.2</v>
      </c>
      <c r="L412" s="146">
        <v>7008</v>
      </c>
      <c r="M412" s="128"/>
      <c r="N412" s="146"/>
      <c r="O412" s="128"/>
      <c r="P412" s="146"/>
      <c r="Q412" s="128"/>
      <c r="R412" s="146"/>
      <c r="S412" s="128"/>
      <c r="T412" s="146"/>
      <c r="U412" s="128"/>
      <c r="V412" s="146"/>
      <c r="W412" s="128"/>
      <c r="X412" s="146"/>
      <c r="Y412" s="128"/>
      <c r="Z412" s="146"/>
      <c r="AA412" s="128"/>
      <c r="AB412" s="146"/>
      <c r="AC412" s="128">
        <v>8012.4</v>
      </c>
      <c r="AD412" s="146">
        <v>9871</v>
      </c>
      <c r="AE412" s="128">
        <v>19632.4</v>
      </c>
      <c r="AF412" s="146">
        <v>21491</v>
      </c>
      <c r="AG412" s="128"/>
      <c r="AH412" s="146"/>
      <c r="AI412" s="128"/>
      <c r="AJ412" s="146"/>
      <c r="AK412" s="128"/>
      <c r="AL412" s="146"/>
      <c r="AM412" s="128"/>
      <c r="AN412" s="146"/>
    </row>
    <row r="413" spans="1:40" s="121" customFormat="1" ht="15" customHeight="1">
      <c r="A413" s="110" t="s">
        <v>1034</v>
      </c>
      <c r="B413" s="110" t="s">
        <v>132</v>
      </c>
      <c r="C413" s="113" t="s">
        <v>133</v>
      </c>
      <c r="D413" s="112">
        <v>5</v>
      </c>
      <c r="E413" s="128">
        <v>2778</v>
      </c>
      <c r="F413" s="146">
        <v>3000</v>
      </c>
      <c r="G413" s="128">
        <v>6678</v>
      </c>
      <c r="H413" s="146">
        <v>7260</v>
      </c>
      <c r="I413" s="128">
        <v>2702.4</v>
      </c>
      <c r="J413" s="146">
        <v>2904</v>
      </c>
      <c r="K413" s="128">
        <v>6422.4</v>
      </c>
      <c r="L413" s="146">
        <v>6960</v>
      </c>
      <c r="M413" s="128"/>
      <c r="N413" s="146"/>
      <c r="O413" s="128"/>
      <c r="P413" s="146"/>
      <c r="Q413" s="128"/>
      <c r="R413" s="146"/>
      <c r="S413" s="128"/>
      <c r="T413" s="146"/>
      <c r="U413" s="128"/>
      <c r="V413" s="146"/>
      <c r="W413" s="128"/>
      <c r="X413" s="146"/>
      <c r="Y413" s="128"/>
      <c r="Z413" s="146"/>
      <c r="AA413" s="128"/>
      <c r="AB413" s="146"/>
      <c r="AC413" s="128"/>
      <c r="AD413" s="146"/>
      <c r="AE413" s="128"/>
      <c r="AF413" s="146"/>
      <c r="AG413" s="128"/>
      <c r="AH413" s="146"/>
      <c r="AI413" s="128"/>
      <c r="AJ413" s="146"/>
      <c r="AK413" s="128"/>
      <c r="AL413" s="146"/>
      <c r="AM413" s="128"/>
      <c r="AN413" s="146"/>
    </row>
    <row r="414" spans="1:40" s="121" customFormat="1" ht="15" customHeight="1">
      <c r="A414" s="110" t="s">
        <v>1034</v>
      </c>
      <c r="B414" s="110" t="s">
        <v>134</v>
      </c>
      <c r="C414" s="113" t="s">
        <v>135</v>
      </c>
      <c r="D414" s="112">
        <v>5</v>
      </c>
      <c r="E414" s="128">
        <v>2731</v>
      </c>
      <c r="F414" s="146">
        <v>3030</v>
      </c>
      <c r="G414" s="128">
        <v>6630.5</v>
      </c>
      <c r="H414" s="146">
        <v>7320</v>
      </c>
      <c r="I414" s="128">
        <v>2673.8</v>
      </c>
      <c r="J414" s="146">
        <v>2904</v>
      </c>
      <c r="K414" s="128">
        <v>6393.8</v>
      </c>
      <c r="L414" s="146">
        <v>6960</v>
      </c>
      <c r="M414" s="128"/>
      <c r="N414" s="146"/>
      <c r="O414" s="128"/>
      <c r="P414" s="146"/>
      <c r="Q414" s="128"/>
      <c r="R414" s="146"/>
      <c r="S414" s="128"/>
      <c r="T414" s="146"/>
      <c r="U414" s="128"/>
      <c r="V414" s="146"/>
      <c r="W414" s="128"/>
      <c r="X414" s="146"/>
      <c r="Y414" s="128"/>
      <c r="Z414" s="146"/>
      <c r="AA414" s="128"/>
      <c r="AB414" s="146"/>
      <c r="AC414" s="128"/>
      <c r="AD414" s="146"/>
      <c r="AE414" s="128"/>
      <c r="AF414" s="146"/>
      <c r="AG414" s="128"/>
      <c r="AH414" s="146"/>
      <c r="AI414" s="128"/>
      <c r="AJ414" s="146"/>
      <c r="AK414" s="128"/>
      <c r="AL414" s="146"/>
      <c r="AM414" s="128"/>
      <c r="AN414" s="146"/>
    </row>
    <row r="415" spans="1:40" s="121" customFormat="1" ht="15" customHeight="1">
      <c r="A415" s="110" t="s">
        <v>1034</v>
      </c>
      <c r="B415" s="110" t="s">
        <v>716</v>
      </c>
      <c r="C415" s="113" t="s">
        <v>717</v>
      </c>
      <c r="D415" s="112">
        <v>5</v>
      </c>
      <c r="E415" s="128">
        <v>2713</v>
      </c>
      <c r="F415" s="146">
        <v>2985</v>
      </c>
      <c r="G415" s="128">
        <v>6613</v>
      </c>
      <c r="H415" s="146">
        <v>7410</v>
      </c>
      <c r="I415" s="128">
        <v>2653.6</v>
      </c>
      <c r="J415" s="146">
        <v>2928</v>
      </c>
      <c r="K415" s="128">
        <v>6373.6</v>
      </c>
      <c r="L415" s="146">
        <v>7128</v>
      </c>
      <c r="M415" s="128"/>
      <c r="N415" s="146"/>
      <c r="O415" s="128"/>
      <c r="P415" s="146"/>
      <c r="Q415" s="128"/>
      <c r="R415" s="146"/>
      <c r="S415" s="128"/>
      <c r="T415" s="146"/>
      <c r="U415" s="128"/>
      <c r="V415" s="146"/>
      <c r="W415" s="128"/>
      <c r="X415" s="146"/>
      <c r="Y415" s="128"/>
      <c r="Z415" s="146"/>
      <c r="AA415" s="128"/>
      <c r="AB415" s="146"/>
      <c r="AC415" s="128"/>
      <c r="AD415" s="146"/>
      <c r="AE415" s="128"/>
      <c r="AF415" s="146"/>
      <c r="AG415" s="128"/>
      <c r="AH415" s="146"/>
      <c r="AI415" s="128"/>
      <c r="AJ415" s="146"/>
      <c r="AK415" s="128"/>
      <c r="AL415" s="146"/>
      <c r="AM415" s="128"/>
      <c r="AN415" s="146"/>
    </row>
    <row r="416" spans="1:40" s="121" customFormat="1" ht="15" customHeight="1">
      <c r="A416" s="110" t="s">
        <v>1034</v>
      </c>
      <c r="B416" s="110" t="s">
        <v>872</v>
      </c>
      <c r="C416" s="113" t="s">
        <v>873</v>
      </c>
      <c r="D416" s="112">
        <v>5</v>
      </c>
      <c r="E416" s="128">
        <v>2947</v>
      </c>
      <c r="F416" s="146">
        <v>3120</v>
      </c>
      <c r="G416" s="128">
        <v>6847</v>
      </c>
      <c r="H416" s="146">
        <v>7440</v>
      </c>
      <c r="I416" s="128">
        <v>2824.8</v>
      </c>
      <c r="J416" s="146">
        <v>3000</v>
      </c>
      <c r="K416" s="128">
        <v>6544.8</v>
      </c>
      <c r="L416" s="146">
        <v>7128</v>
      </c>
      <c r="M416" s="128"/>
      <c r="N416" s="146"/>
      <c r="O416" s="128"/>
      <c r="P416" s="146"/>
      <c r="Q416" s="128"/>
      <c r="R416" s="146"/>
      <c r="S416" s="128"/>
      <c r="T416" s="146"/>
      <c r="U416" s="128"/>
      <c r="V416" s="146"/>
      <c r="W416" s="128"/>
      <c r="X416" s="146"/>
      <c r="Y416" s="128"/>
      <c r="Z416" s="146"/>
      <c r="AA416" s="128"/>
      <c r="AB416" s="146"/>
      <c r="AC416" s="128"/>
      <c r="AD416" s="146"/>
      <c r="AE416" s="128"/>
      <c r="AF416" s="146"/>
      <c r="AG416" s="128"/>
      <c r="AH416" s="146"/>
      <c r="AI416" s="128"/>
      <c r="AJ416" s="146"/>
      <c r="AK416" s="128"/>
      <c r="AL416" s="146"/>
      <c r="AM416" s="128"/>
      <c r="AN416" s="146"/>
    </row>
    <row r="417" spans="1:40" s="121" customFormat="1" ht="15" customHeight="1">
      <c r="A417" s="110" t="s">
        <v>1034</v>
      </c>
      <c r="B417" s="110" t="s">
        <v>874</v>
      </c>
      <c r="C417" s="113" t="s">
        <v>875</v>
      </c>
      <c r="D417" s="112">
        <v>5</v>
      </c>
      <c r="E417" s="128">
        <v>2764.5</v>
      </c>
      <c r="F417" s="146">
        <v>3000</v>
      </c>
      <c r="G417" s="128">
        <v>6664.5</v>
      </c>
      <c r="H417" s="146">
        <v>7200</v>
      </c>
      <c r="I417" s="128">
        <v>2698.2</v>
      </c>
      <c r="J417" s="146">
        <v>3000</v>
      </c>
      <c r="K417" s="128">
        <v>6418.2</v>
      </c>
      <c r="L417" s="146">
        <v>7128</v>
      </c>
      <c r="M417" s="128"/>
      <c r="N417" s="146"/>
      <c r="O417" s="128"/>
      <c r="P417" s="146"/>
      <c r="Q417" s="128"/>
      <c r="R417" s="146"/>
      <c r="S417" s="128"/>
      <c r="T417" s="146"/>
      <c r="U417" s="128"/>
      <c r="V417" s="146"/>
      <c r="W417" s="128"/>
      <c r="X417" s="146"/>
      <c r="Y417" s="128">
        <v>5666</v>
      </c>
      <c r="Z417" s="146">
        <v>6400</v>
      </c>
      <c r="AA417" s="128">
        <v>10226.6</v>
      </c>
      <c r="AB417" s="146">
        <v>11840</v>
      </c>
      <c r="AC417" s="128"/>
      <c r="AD417" s="146"/>
      <c r="AE417" s="128"/>
      <c r="AF417" s="146"/>
      <c r="AG417" s="128"/>
      <c r="AH417" s="146"/>
      <c r="AI417" s="128"/>
      <c r="AJ417" s="146"/>
      <c r="AK417" s="128"/>
      <c r="AL417" s="146"/>
      <c r="AM417" s="128"/>
      <c r="AN417" s="146"/>
    </row>
    <row r="418" spans="1:40" s="121" customFormat="1" ht="15" customHeight="1">
      <c r="A418" s="110" t="s">
        <v>1034</v>
      </c>
      <c r="B418" s="110" t="s">
        <v>876</v>
      </c>
      <c r="C418" s="113" t="s">
        <v>877</v>
      </c>
      <c r="D418" s="112">
        <v>6</v>
      </c>
      <c r="E418" s="128">
        <v>2762</v>
      </c>
      <c r="F418" s="146">
        <v>3003</v>
      </c>
      <c r="G418" s="128">
        <v>6374</v>
      </c>
      <c r="H418" s="146">
        <v>7080</v>
      </c>
      <c r="I418" s="128">
        <v>2744.6</v>
      </c>
      <c r="J418" s="146">
        <v>2976</v>
      </c>
      <c r="K418" s="128">
        <v>6309.86</v>
      </c>
      <c r="L418" s="146">
        <v>6984</v>
      </c>
      <c r="M418" s="128"/>
      <c r="N418" s="146"/>
      <c r="O418" s="128"/>
      <c r="P418" s="146"/>
      <c r="Q418" s="128"/>
      <c r="R418" s="146"/>
      <c r="S418" s="128"/>
      <c r="T418" s="146"/>
      <c r="U418" s="128"/>
      <c r="V418" s="146"/>
      <c r="W418" s="128"/>
      <c r="X418" s="146"/>
      <c r="Y418" s="128"/>
      <c r="Z418" s="146"/>
      <c r="AA418" s="128"/>
      <c r="AB418" s="146"/>
      <c r="AC418" s="128"/>
      <c r="AD418" s="146"/>
      <c r="AE418" s="128"/>
      <c r="AF418" s="146"/>
      <c r="AG418" s="128"/>
      <c r="AH418" s="146"/>
      <c r="AI418" s="128"/>
      <c r="AJ418" s="146"/>
      <c r="AK418" s="128"/>
      <c r="AL418" s="146"/>
      <c r="AM418" s="128"/>
      <c r="AN418" s="146"/>
    </row>
    <row r="419" spans="1:40" s="121" customFormat="1" ht="15" customHeight="1">
      <c r="A419" s="110" t="s">
        <v>1034</v>
      </c>
      <c r="B419" s="110" t="s">
        <v>878</v>
      </c>
      <c r="C419" s="113" t="s">
        <v>879</v>
      </c>
      <c r="D419" s="112">
        <v>6</v>
      </c>
      <c r="E419" s="128">
        <v>2499.3</v>
      </c>
      <c r="F419" s="146">
        <v>2730</v>
      </c>
      <c r="G419" s="128">
        <v>5791.2</v>
      </c>
      <c r="H419" s="146">
        <v>6330</v>
      </c>
      <c r="I419" s="128"/>
      <c r="J419" s="146"/>
      <c r="K419" s="128"/>
      <c r="L419" s="146"/>
      <c r="M419" s="128"/>
      <c r="N419" s="146"/>
      <c r="O419" s="128"/>
      <c r="P419" s="146"/>
      <c r="Q419" s="128"/>
      <c r="R419" s="146"/>
      <c r="S419" s="128"/>
      <c r="T419" s="146"/>
      <c r="U419" s="128"/>
      <c r="V419" s="146"/>
      <c r="W419" s="128"/>
      <c r="X419" s="146"/>
      <c r="Y419" s="128"/>
      <c r="Z419" s="146"/>
      <c r="AA419" s="128"/>
      <c r="AB419" s="146"/>
      <c r="AC419" s="128"/>
      <c r="AD419" s="146"/>
      <c r="AE419" s="128"/>
      <c r="AF419" s="146"/>
      <c r="AG419" s="128"/>
      <c r="AH419" s="146"/>
      <c r="AI419" s="128"/>
      <c r="AJ419" s="146"/>
      <c r="AK419" s="128"/>
      <c r="AL419" s="146"/>
      <c r="AM419" s="128"/>
      <c r="AN419" s="146"/>
    </row>
    <row r="420" spans="1:40" s="121" customFormat="1" ht="15" customHeight="1">
      <c r="A420" s="110" t="s">
        <v>1034</v>
      </c>
      <c r="B420" s="110" t="s">
        <v>880</v>
      </c>
      <c r="C420" s="113" t="s">
        <v>881</v>
      </c>
      <c r="D420" s="112">
        <v>6</v>
      </c>
      <c r="E420" s="128">
        <v>2890.5</v>
      </c>
      <c r="F420" s="146">
        <v>3180</v>
      </c>
      <c r="G420" s="128">
        <v>6790.5</v>
      </c>
      <c r="H420" s="146">
        <v>7500</v>
      </c>
      <c r="I420" s="128"/>
      <c r="J420" s="146"/>
      <c r="K420" s="128"/>
      <c r="L420" s="146"/>
      <c r="M420" s="128"/>
      <c r="N420" s="146"/>
      <c r="O420" s="128"/>
      <c r="P420" s="146"/>
      <c r="Q420" s="128"/>
      <c r="R420" s="146"/>
      <c r="S420" s="128"/>
      <c r="T420" s="146"/>
      <c r="U420" s="128"/>
      <c r="V420" s="146"/>
      <c r="W420" s="128"/>
      <c r="X420" s="146"/>
      <c r="Y420" s="128"/>
      <c r="Z420" s="146"/>
      <c r="AA420" s="128"/>
      <c r="AB420" s="146"/>
      <c r="AC420" s="128"/>
      <c r="AD420" s="146"/>
      <c r="AE420" s="128"/>
      <c r="AF420" s="146"/>
      <c r="AG420" s="128"/>
      <c r="AH420" s="146"/>
      <c r="AI420" s="128"/>
      <c r="AJ420" s="146"/>
      <c r="AK420" s="128"/>
      <c r="AL420" s="146"/>
      <c r="AM420" s="128"/>
      <c r="AN420" s="146"/>
    </row>
    <row r="421" spans="1:40" s="121" customFormat="1" ht="15" customHeight="1">
      <c r="A421" s="110" t="s">
        <v>1034</v>
      </c>
      <c r="B421" s="110" t="s">
        <v>882</v>
      </c>
      <c r="C421" s="113" t="s">
        <v>883</v>
      </c>
      <c r="D421" s="263">
        <v>7</v>
      </c>
      <c r="E421" s="128">
        <v>2701</v>
      </c>
      <c r="F421" s="146">
        <v>3030</v>
      </c>
      <c r="G421" s="128">
        <v>6601</v>
      </c>
      <c r="H421" s="146">
        <v>7230</v>
      </c>
      <c r="I421" s="128"/>
      <c r="J421" s="146"/>
      <c r="K421" s="128"/>
      <c r="L421" s="146"/>
      <c r="M421" s="128"/>
      <c r="N421" s="146"/>
      <c r="O421" s="128"/>
      <c r="P421" s="146"/>
      <c r="Q421" s="128"/>
      <c r="R421" s="146"/>
      <c r="S421" s="128"/>
      <c r="T421" s="146"/>
      <c r="U421" s="128"/>
      <c r="V421" s="146"/>
      <c r="W421" s="128"/>
      <c r="X421" s="146"/>
      <c r="Y421" s="128"/>
      <c r="Z421" s="146"/>
      <c r="AA421" s="128"/>
      <c r="AB421" s="146"/>
      <c r="AC421" s="128"/>
      <c r="AD421" s="146"/>
      <c r="AE421" s="128"/>
      <c r="AF421" s="146"/>
      <c r="AG421" s="128"/>
      <c r="AH421" s="146"/>
      <c r="AI421" s="128"/>
      <c r="AJ421" s="146"/>
      <c r="AK421" s="128"/>
      <c r="AL421" s="146"/>
      <c r="AM421" s="128"/>
      <c r="AN421" s="146"/>
    </row>
    <row r="422" spans="1:40" s="121" customFormat="1" ht="15" customHeight="1">
      <c r="A422" s="110" t="s">
        <v>1034</v>
      </c>
      <c r="B422" s="110" t="s">
        <v>884</v>
      </c>
      <c r="C422" s="113" t="s">
        <v>885</v>
      </c>
      <c r="D422" s="112">
        <v>8</v>
      </c>
      <c r="E422" s="128">
        <v>1726.5</v>
      </c>
      <c r="F422" s="146">
        <v>1950</v>
      </c>
      <c r="G422" s="128">
        <v>4515</v>
      </c>
      <c r="H422" s="146">
        <v>5070</v>
      </c>
      <c r="I422" s="128"/>
      <c r="J422" s="146"/>
      <c r="K422" s="128"/>
      <c r="L422" s="146"/>
      <c r="M422" s="128"/>
      <c r="N422" s="146"/>
      <c r="O422" s="128"/>
      <c r="P422" s="146"/>
      <c r="Q422" s="128"/>
      <c r="R422" s="146"/>
      <c r="S422" s="128"/>
      <c r="T422" s="146"/>
      <c r="U422" s="128"/>
      <c r="V422" s="146"/>
      <c r="W422" s="128"/>
      <c r="X422" s="146"/>
      <c r="Y422" s="128"/>
      <c r="Z422" s="146"/>
      <c r="AA422" s="128"/>
      <c r="AB422" s="146"/>
      <c r="AC422" s="128"/>
      <c r="AD422" s="146"/>
      <c r="AE422" s="128"/>
      <c r="AF422" s="146"/>
      <c r="AG422" s="128"/>
      <c r="AH422" s="146"/>
      <c r="AI422" s="128"/>
      <c r="AJ422" s="146"/>
      <c r="AK422" s="128"/>
      <c r="AL422" s="146"/>
      <c r="AM422" s="128"/>
      <c r="AN422" s="146"/>
    </row>
    <row r="423" spans="1:40" s="121" customFormat="1" ht="15" customHeight="1">
      <c r="A423" s="110" t="s">
        <v>1034</v>
      </c>
      <c r="B423" s="110" t="s">
        <v>886</v>
      </c>
      <c r="C423" s="113" t="s">
        <v>887</v>
      </c>
      <c r="D423" s="112">
        <v>8</v>
      </c>
      <c r="E423" s="128">
        <v>1873.5</v>
      </c>
      <c r="F423" s="146">
        <v>2166</v>
      </c>
      <c r="G423" s="128">
        <v>4873.5</v>
      </c>
      <c r="H423" s="146">
        <v>5622</v>
      </c>
      <c r="I423" s="128"/>
      <c r="J423" s="146"/>
      <c r="K423" s="128"/>
      <c r="L423" s="146"/>
      <c r="M423" s="128"/>
      <c r="N423" s="146"/>
      <c r="O423" s="128"/>
      <c r="P423" s="146"/>
      <c r="Q423" s="128"/>
      <c r="R423" s="146"/>
      <c r="S423" s="128"/>
      <c r="T423" s="146"/>
      <c r="U423" s="128"/>
      <c r="V423" s="146"/>
      <c r="W423" s="128"/>
      <c r="X423" s="146"/>
      <c r="Y423" s="128"/>
      <c r="Z423" s="146"/>
      <c r="AA423" s="128"/>
      <c r="AB423" s="146"/>
      <c r="AC423" s="128"/>
      <c r="AD423" s="146"/>
      <c r="AE423" s="128"/>
      <c r="AF423" s="146"/>
      <c r="AG423" s="128"/>
      <c r="AH423" s="146"/>
      <c r="AI423" s="128"/>
      <c r="AJ423" s="146"/>
      <c r="AK423" s="128"/>
      <c r="AL423" s="146"/>
      <c r="AM423" s="128"/>
      <c r="AN423" s="146"/>
    </row>
    <row r="424" spans="1:40" s="121" customFormat="1" ht="15" customHeight="1">
      <c r="A424" s="110" t="s">
        <v>1034</v>
      </c>
      <c r="B424" s="110" t="s">
        <v>889</v>
      </c>
      <c r="C424" s="113" t="s">
        <v>890</v>
      </c>
      <c r="D424" s="112">
        <v>9</v>
      </c>
      <c r="E424" s="128">
        <v>1824</v>
      </c>
      <c r="F424" s="146">
        <v>1914</v>
      </c>
      <c r="G424" s="128">
        <v>4468.5</v>
      </c>
      <c r="H424" s="146">
        <v>4770</v>
      </c>
      <c r="I424" s="128"/>
      <c r="J424" s="146"/>
      <c r="K424" s="128"/>
      <c r="L424" s="146"/>
      <c r="M424" s="128"/>
      <c r="N424" s="146"/>
      <c r="O424" s="128"/>
      <c r="P424" s="146"/>
      <c r="Q424" s="128"/>
      <c r="R424" s="146"/>
      <c r="S424" s="128"/>
      <c r="T424" s="146"/>
      <c r="U424" s="128"/>
      <c r="V424" s="146"/>
      <c r="W424" s="128"/>
      <c r="X424" s="146"/>
      <c r="Y424" s="128"/>
      <c r="Z424" s="146"/>
      <c r="AA424" s="128"/>
      <c r="AB424" s="146"/>
      <c r="AC424" s="128"/>
      <c r="AD424" s="146"/>
      <c r="AE424" s="128"/>
      <c r="AF424" s="146"/>
      <c r="AG424" s="128"/>
      <c r="AH424" s="146"/>
      <c r="AI424" s="128"/>
      <c r="AJ424" s="146"/>
      <c r="AK424" s="128"/>
      <c r="AL424" s="146"/>
      <c r="AM424" s="128"/>
      <c r="AN424" s="146"/>
    </row>
    <row r="425" spans="1:40" s="121" customFormat="1" ht="15" customHeight="1">
      <c r="A425" s="110" t="s">
        <v>1034</v>
      </c>
      <c r="B425" s="110" t="s">
        <v>892</v>
      </c>
      <c r="C425" s="113" t="s">
        <v>893</v>
      </c>
      <c r="D425" s="112">
        <v>9</v>
      </c>
      <c r="E425" s="128">
        <v>2460</v>
      </c>
      <c r="F425" s="146">
        <v>2940</v>
      </c>
      <c r="G425" s="128">
        <v>5550</v>
      </c>
      <c r="H425" s="146">
        <v>6930</v>
      </c>
      <c r="I425" s="128"/>
      <c r="J425" s="146"/>
      <c r="K425" s="128"/>
      <c r="L425" s="146"/>
      <c r="M425" s="128"/>
      <c r="N425" s="146"/>
      <c r="O425" s="128"/>
      <c r="P425" s="146"/>
      <c r="Q425" s="128"/>
      <c r="R425" s="146"/>
      <c r="S425" s="128"/>
      <c r="T425" s="146"/>
      <c r="U425" s="128"/>
      <c r="V425" s="146"/>
      <c r="W425" s="128"/>
      <c r="X425" s="146"/>
      <c r="Y425" s="128"/>
      <c r="Z425" s="146"/>
      <c r="AA425" s="128"/>
      <c r="AB425" s="146"/>
      <c r="AC425" s="128"/>
      <c r="AD425" s="146"/>
      <c r="AE425" s="128"/>
      <c r="AF425" s="146"/>
      <c r="AG425" s="128"/>
      <c r="AH425" s="146"/>
      <c r="AI425" s="128"/>
      <c r="AJ425" s="146"/>
      <c r="AK425" s="128"/>
      <c r="AL425" s="146"/>
      <c r="AM425" s="128"/>
      <c r="AN425" s="146"/>
    </row>
    <row r="426" spans="1:40" s="121" customFormat="1" ht="15" customHeight="1">
      <c r="A426" s="110" t="s">
        <v>1034</v>
      </c>
      <c r="B426" s="110" t="s">
        <v>363</v>
      </c>
      <c r="C426" s="113" t="s">
        <v>891</v>
      </c>
      <c r="D426" s="112">
        <v>9</v>
      </c>
      <c r="E426" s="128">
        <v>2159</v>
      </c>
      <c r="F426" s="146">
        <v>2315</v>
      </c>
      <c r="G426" s="128">
        <v>5249</v>
      </c>
      <c r="H426" s="146">
        <v>5765</v>
      </c>
      <c r="I426" s="128"/>
      <c r="J426" s="146"/>
      <c r="K426" s="128"/>
      <c r="L426" s="146"/>
      <c r="M426" s="128"/>
      <c r="N426" s="146"/>
      <c r="O426" s="128"/>
      <c r="P426" s="146"/>
      <c r="Q426" s="128"/>
      <c r="R426" s="146"/>
      <c r="S426" s="128"/>
      <c r="T426" s="146"/>
      <c r="U426" s="128"/>
      <c r="V426" s="146"/>
      <c r="W426" s="128"/>
      <c r="X426" s="146"/>
      <c r="Y426" s="128"/>
      <c r="Z426" s="146"/>
      <c r="AA426" s="128"/>
      <c r="AB426" s="146"/>
      <c r="AC426" s="128"/>
      <c r="AD426" s="146"/>
      <c r="AE426" s="128"/>
      <c r="AF426" s="146"/>
      <c r="AG426" s="128"/>
      <c r="AH426" s="146"/>
      <c r="AI426" s="128"/>
      <c r="AJ426" s="146"/>
      <c r="AK426" s="128"/>
      <c r="AL426" s="146"/>
      <c r="AM426" s="128"/>
      <c r="AN426" s="146"/>
    </row>
    <row r="427" spans="1:40" s="121" customFormat="1" ht="15" customHeight="1">
      <c r="A427" s="110" t="s">
        <v>1034</v>
      </c>
      <c r="B427" s="110" t="s">
        <v>894</v>
      </c>
      <c r="C427" s="113" t="s">
        <v>294</v>
      </c>
      <c r="D427" s="112">
        <v>9</v>
      </c>
      <c r="E427" s="128">
        <v>1631</v>
      </c>
      <c r="F427" s="146">
        <v>1781</v>
      </c>
      <c r="G427" s="128">
        <v>4276.1</v>
      </c>
      <c r="H427" s="146">
        <v>4760</v>
      </c>
      <c r="I427" s="128"/>
      <c r="J427" s="146"/>
      <c r="K427" s="128"/>
      <c r="L427" s="146"/>
      <c r="M427" s="128"/>
      <c r="N427" s="146"/>
      <c r="O427" s="128"/>
      <c r="P427" s="146"/>
      <c r="Q427" s="128"/>
      <c r="R427" s="146"/>
      <c r="S427" s="128"/>
      <c r="T427" s="146"/>
      <c r="U427" s="128"/>
      <c r="V427" s="146"/>
      <c r="W427" s="128"/>
      <c r="X427" s="146"/>
      <c r="Y427" s="128"/>
      <c r="Z427" s="146"/>
      <c r="AA427" s="128"/>
      <c r="AB427" s="146"/>
      <c r="AC427" s="128"/>
      <c r="AD427" s="146"/>
      <c r="AE427" s="128"/>
      <c r="AF427" s="146"/>
      <c r="AG427" s="128"/>
      <c r="AH427" s="146"/>
      <c r="AI427" s="128"/>
      <c r="AJ427" s="146"/>
      <c r="AK427" s="128"/>
      <c r="AL427" s="146"/>
      <c r="AM427" s="128"/>
      <c r="AN427" s="146"/>
    </row>
    <row r="428" spans="1:40" s="121" customFormat="1" ht="15" customHeight="1">
      <c r="A428" s="110" t="s">
        <v>1034</v>
      </c>
      <c r="B428" s="110" t="s">
        <v>295</v>
      </c>
      <c r="C428" s="113" t="s">
        <v>296</v>
      </c>
      <c r="D428" s="112">
        <v>10</v>
      </c>
      <c r="E428" s="128">
        <v>1834.5</v>
      </c>
      <c r="F428" s="146">
        <v>1980</v>
      </c>
      <c r="G428" s="128">
        <v>4479</v>
      </c>
      <c r="H428" s="146">
        <v>4830</v>
      </c>
      <c r="I428" s="128"/>
      <c r="J428" s="146"/>
      <c r="K428" s="128"/>
      <c r="L428" s="146"/>
      <c r="M428" s="128"/>
      <c r="N428" s="146"/>
      <c r="O428" s="128"/>
      <c r="P428" s="146"/>
      <c r="Q428" s="128"/>
      <c r="R428" s="146"/>
      <c r="S428" s="128"/>
      <c r="T428" s="146"/>
      <c r="U428" s="128"/>
      <c r="V428" s="146"/>
      <c r="W428" s="128"/>
      <c r="X428" s="146"/>
      <c r="Y428" s="128"/>
      <c r="Z428" s="146"/>
      <c r="AA428" s="128"/>
      <c r="AB428" s="146"/>
      <c r="AC428" s="128"/>
      <c r="AD428" s="146"/>
      <c r="AE428" s="128"/>
      <c r="AF428" s="146"/>
      <c r="AG428" s="128"/>
      <c r="AH428" s="146"/>
      <c r="AI428" s="128"/>
      <c r="AJ428" s="146"/>
      <c r="AK428" s="128"/>
      <c r="AL428" s="146"/>
      <c r="AM428" s="128"/>
      <c r="AN428" s="146"/>
    </row>
    <row r="429" spans="1:40" s="121" customFormat="1" ht="15" customHeight="1">
      <c r="A429" s="110" t="s">
        <v>1034</v>
      </c>
      <c r="B429" s="110" t="s">
        <v>297</v>
      </c>
      <c r="C429" s="113" t="s">
        <v>298</v>
      </c>
      <c r="D429" s="112">
        <v>10</v>
      </c>
      <c r="E429" s="128">
        <v>1786.5</v>
      </c>
      <c r="F429" s="146">
        <v>2109</v>
      </c>
      <c r="G429" s="128">
        <v>4431</v>
      </c>
      <c r="H429" s="146">
        <v>5020</v>
      </c>
      <c r="I429" s="128"/>
      <c r="J429" s="146"/>
      <c r="K429" s="128"/>
      <c r="L429" s="146"/>
      <c r="M429" s="128"/>
      <c r="N429" s="146"/>
      <c r="O429" s="128"/>
      <c r="P429" s="146"/>
      <c r="Q429" s="128"/>
      <c r="R429" s="146"/>
      <c r="S429" s="128"/>
      <c r="T429" s="146"/>
      <c r="U429" s="128"/>
      <c r="V429" s="146"/>
      <c r="W429" s="128"/>
      <c r="X429" s="146"/>
      <c r="Y429" s="128"/>
      <c r="Z429" s="146"/>
      <c r="AA429" s="128"/>
      <c r="AB429" s="146"/>
      <c r="AC429" s="128"/>
      <c r="AD429" s="146"/>
      <c r="AE429" s="128"/>
      <c r="AF429" s="146"/>
      <c r="AG429" s="128"/>
      <c r="AH429" s="146"/>
      <c r="AI429" s="128"/>
      <c r="AJ429" s="146"/>
      <c r="AK429" s="128"/>
      <c r="AL429" s="146"/>
      <c r="AM429" s="128"/>
      <c r="AN429" s="146"/>
    </row>
    <row r="430" spans="1:40" s="121" customFormat="1" ht="15" customHeight="1">
      <c r="A430" s="110" t="s">
        <v>1034</v>
      </c>
      <c r="B430" s="110" t="s">
        <v>299</v>
      </c>
      <c r="C430" s="113" t="s">
        <v>300</v>
      </c>
      <c r="D430" s="112">
        <v>10</v>
      </c>
      <c r="E430" s="128">
        <v>1922.5</v>
      </c>
      <c r="F430" s="146">
        <v>2109</v>
      </c>
      <c r="G430" s="128">
        <v>4688.5</v>
      </c>
      <c r="H430" s="146">
        <v>5160</v>
      </c>
      <c r="I430" s="128"/>
      <c r="J430" s="146"/>
      <c r="K430" s="128"/>
      <c r="L430" s="146"/>
      <c r="M430" s="128"/>
      <c r="N430" s="146"/>
      <c r="O430" s="128"/>
      <c r="P430" s="146"/>
      <c r="Q430" s="128"/>
      <c r="R430" s="146"/>
      <c r="S430" s="128"/>
      <c r="T430" s="146"/>
      <c r="U430" s="128"/>
      <c r="V430" s="146"/>
      <c r="W430" s="128"/>
      <c r="X430" s="146"/>
      <c r="Y430" s="128"/>
      <c r="Z430" s="146"/>
      <c r="AA430" s="128"/>
      <c r="AB430" s="146"/>
      <c r="AC430" s="128"/>
      <c r="AD430" s="146"/>
      <c r="AE430" s="128"/>
      <c r="AF430" s="146"/>
      <c r="AG430" s="128"/>
      <c r="AH430" s="146"/>
      <c r="AI430" s="128"/>
      <c r="AJ430" s="146"/>
      <c r="AK430" s="128"/>
      <c r="AL430" s="146"/>
      <c r="AM430" s="128"/>
      <c r="AN430" s="146"/>
    </row>
    <row r="431" spans="1:40" s="121" customFormat="1" ht="15" customHeight="1">
      <c r="A431" s="110" t="s">
        <v>1034</v>
      </c>
      <c r="B431" s="110" t="s">
        <v>301</v>
      </c>
      <c r="C431" s="113" t="s">
        <v>302</v>
      </c>
      <c r="D431" s="112">
        <v>10</v>
      </c>
      <c r="E431" s="128">
        <v>1930</v>
      </c>
      <c r="F431" s="146">
        <v>2140</v>
      </c>
      <c r="G431" s="128">
        <v>4630</v>
      </c>
      <c r="H431" s="146">
        <v>5140</v>
      </c>
      <c r="I431" s="128"/>
      <c r="J431" s="146"/>
      <c r="K431" s="128"/>
      <c r="L431" s="146"/>
      <c r="M431" s="128"/>
      <c r="N431" s="146"/>
      <c r="O431" s="128"/>
      <c r="P431" s="146"/>
      <c r="Q431" s="128"/>
      <c r="R431" s="146"/>
      <c r="S431" s="128"/>
      <c r="T431" s="146"/>
      <c r="U431" s="128"/>
      <c r="V431" s="146"/>
      <c r="W431" s="128"/>
      <c r="X431" s="146"/>
      <c r="Y431" s="128"/>
      <c r="Z431" s="146"/>
      <c r="AA431" s="128"/>
      <c r="AB431" s="146"/>
      <c r="AC431" s="128"/>
      <c r="AD431" s="146"/>
      <c r="AE431" s="128"/>
      <c r="AF431" s="146"/>
      <c r="AG431" s="128"/>
      <c r="AH431" s="146"/>
      <c r="AI431" s="128"/>
      <c r="AJ431" s="146"/>
      <c r="AK431" s="128"/>
      <c r="AL431" s="146"/>
      <c r="AM431" s="128"/>
      <c r="AN431" s="146"/>
    </row>
    <row r="432" spans="1:40" s="121" customFormat="1" ht="15" customHeight="1">
      <c r="A432" s="110" t="s">
        <v>1034</v>
      </c>
      <c r="B432" s="110" t="s">
        <v>303</v>
      </c>
      <c r="C432" s="113" t="s">
        <v>304</v>
      </c>
      <c r="D432" s="112">
        <v>10</v>
      </c>
      <c r="E432" s="128">
        <v>1787.5</v>
      </c>
      <c r="F432" s="146">
        <v>1950</v>
      </c>
      <c r="G432" s="128">
        <v>4427.5</v>
      </c>
      <c r="H432" s="146">
        <v>4814</v>
      </c>
      <c r="I432" s="128"/>
      <c r="J432" s="146"/>
      <c r="K432" s="128"/>
      <c r="L432" s="146"/>
      <c r="M432" s="128"/>
      <c r="N432" s="146"/>
      <c r="O432" s="128"/>
      <c r="P432" s="146"/>
      <c r="Q432" s="128"/>
      <c r="R432" s="146"/>
      <c r="S432" s="128"/>
      <c r="T432" s="146"/>
      <c r="U432" s="128"/>
      <c r="V432" s="146"/>
      <c r="W432" s="128"/>
      <c r="X432" s="146"/>
      <c r="Y432" s="128"/>
      <c r="Z432" s="146"/>
      <c r="AA432" s="128"/>
      <c r="AB432" s="146"/>
      <c r="AC432" s="128"/>
      <c r="AD432" s="146"/>
      <c r="AE432" s="128"/>
      <c r="AF432" s="146"/>
      <c r="AG432" s="128"/>
      <c r="AH432" s="146"/>
      <c r="AI432" s="128"/>
      <c r="AJ432" s="146"/>
      <c r="AK432" s="128"/>
      <c r="AL432" s="146"/>
      <c r="AM432" s="128"/>
      <c r="AN432" s="146"/>
    </row>
    <row r="433" spans="1:40" s="121" customFormat="1" ht="15" customHeight="1">
      <c r="A433" s="110" t="s">
        <v>1034</v>
      </c>
      <c r="B433" s="110" t="s">
        <v>305</v>
      </c>
      <c r="C433" s="113" t="s">
        <v>306</v>
      </c>
      <c r="D433" s="112">
        <v>10</v>
      </c>
      <c r="E433" s="128">
        <v>1930</v>
      </c>
      <c r="F433" s="146">
        <v>2190</v>
      </c>
      <c r="G433" s="128">
        <v>4180</v>
      </c>
      <c r="H433" s="146">
        <v>4440</v>
      </c>
      <c r="I433" s="128"/>
      <c r="J433" s="146"/>
      <c r="K433" s="128"/>
      <c r="L433" s="146"/>
      <c r="M433" s="128"/>
      <c r="N433" s="146"/>
      <c r="O433" s="128"/>
      <c r="P433" s="146"/>
      <c r="Q433" s="128"/>
      <c r="R433" s="146"/>
      <c r="S433" s="128"/>
      <c r="T433" s="146"/>
      <c r="U433" s="128"/>
      <c r="V433" s="146"/>
      <c r="W433" s="128"/>
      <c r="X433" s="146"/>
      <c r="Y433" s="128"/>
      <c r="Z433" s="146"/>
      <c r="AA433" s="128"/>
      <c r="AB433" s="146"/>
      <c r="AC433" s="128"/>
      <c r="AD433" s="146"/>
      <c r="AE433" s="128"/>
      <c r="AF433" s="146"/>
      <c r="AG433" s="128"/>
      <c r="AH433" s="146"/>
      <c r="AI433" s="128"/>
      <c r="AJ433" s="146"/>
      <c r="AK433" s="128"/>
      <c r="AL433" s="146"/>
      <c r="AM433" s="128"/>
      <c r="AN433" s="146"/>
    </row>
    <row r="434" spans="1:40" s="121" customFormat="1" ht="15" customHeight="1">
      <c r="A434" s="110" t="s">
        <v>1034</v>
      </c>
      <c r="B434" s="110" t="s">
        <v>307</v>
      </c>
      <c r="C434" s="113" t="s">
        <v>308</v>
      </c>
      <c r="D434" s="112">
        <v>10</v>
      </c>
      <c r="E434" s="128">
        <v>1948.5</v>
      </c>
      <c r="F434" s="146">
        <v>2159</v>
      </c>
      <c r="G434" s="128">
        <v>4681.5</v>
      </c>
      <c r="H434" s="146">
        <v>5084</v>
      </c>
      <c r="I434" s="128"/>
      <c r="J434" s="146"/>
      <c r="K434" s="128"/>
      <c r="L434" s="146"/>
      <c r="M434" s="128"/>
      <c r="N434" s="146"/>
      <c r="O434" s="128"/>
      <c r="P434" s="146"/>
      <c r="Q434" s="128"/>
      <c r="R434" s="146"/>
      <c r="S434" s="128"/>
      <c r="T434" s="146"/>
      <c r="U434" s="128"/>
      <c r="V434" s="146"/>
      <c r="W434" s="128"/>
      <c r="X434" s="146"/>
      <c r="Y434" s="128"/>
      <c r="Z434" s="146"/>
      <c r="AA434" s="128"/>
      <c r="AB434" s="146"/>
      <c r="AC434" s="128"/>
      <c r="AD434" s="146"/>
      <c r="AE434" s="128"/>
      <c r="AF434" s="146"/>
      <c r="AG434" s="128"/>
      <c r="AH434" s="146"/>
      <c r="AI434" s="128"/>
      <c r="AJ434" s="146"/>
      <c r="AK434" s="128"/>
      <c r="AL434" s="146"/>
      <c r="AM434" s="128"/>
      <c r="AN434" s="146"/>
    </row>
    <row r="435" spans="1:40" s="121" customFormat="1" ht="15" customHeight="1">
      <c r="A435" s="110" t="s">
        <v>1034</v>
      </c>
      <c r="B435" s="110" t="s">
        <v>309</v>
      </c>
      <c r="C435" s="113">
        <v>208035</v>
      </c>
      <c r="D435" s="112">
        <v>10</v>
      </c>
      <c r="E435" s="128">
        <v>1942.5</v>
      </c>
      <c r="F435" s="146">
        <v>2061</v>
      </c>
      <c r="G435" s="128">
        <v>4587</v>
      </c>
      <c r="H435" s="146">
        <v>4970</v>
      </c>
      <c r="I435" s="128"/>
      <c r="J435" s="146"/>
      <c r="K435" s="128"/>
      <c r="L435" s="146"/>
      <c r="M435" s="128"/>
      <c r="N435" s="146"/>
      <c r="O435" s="128"/>
      <c r="P435" s="146"/>
      <c r="Q435" s="128"/>
      <c r="R435" s="146"/>
      <c r="S435" s="128"/>
      <c r="T435" s="146"/>
      <c r="U435" s="128"/>
      <c r="V435" s="146"/>
      <c r="W435" s="128"/>
      <c r="X435" s="146"/>
      <c r="Y435" s="128"/>
      <c r="Z435" s="146"/>
      <c r="AA435" s="128"/>
      <c r="AB435" s="146"/>
      <c r="AC435" s="128"/>
      <c r="AD435" s="146"/>
      <c r="AE435" s="128"/>
      <c r="AF435" s="146"/>
      <c r="AG435" s="128"/>
      <c r="AH435" s="146"/>
      <c r="AI435" s="128"/>
      <c r="AJ435" s="146"/>
      <c r="AK435" s="128"/>
      <c r="AL435" s="146"/>
      <c r="AM435" s="128"/>
      <c r="AN435" s="146"/>
    </row>
    <row r="436" spans="1:40" s="121" customFormat="1" ht="15" customHeight="1">
      <c r="A436" s="137" t="s">
        <v>1034</v>
      </c>
      <c r="B436" s="264" t="s">
        <v>1113</v>
      </c>
      <c r="C436" s="265">
        <v>245999</v>
      </c>
      <c r="D436" s="148">
        <v>14</v>
      </c>
      <c r="E436" s="128"/>
      <c r="F436" s="146"/>
      <c r="G436" s="128"/>
      <c r="H436" s="146"/>
      <c r="I436" s="128"/>
      <c r="J436" s="146"/>
      <c r="K436" s="128"/>
      <c r="L436" s="146"/>
      <c r="M436" s="128"/>
      <c r="N436" s="146"/>
      <c r="O436" s="128"/>
      <c r="P436" s="146"/>
      <c r="Q436" s="128"/>
      <c r="R436" s="146"/>
      <c r="S436" s="128"/>
      <c r="T436" s="146"/>
      <c r="U436" s="128"/>
      <c r="V436" s="146"/>
      <c r="W436" s="128"/>
      <c r="X436" s="146"/>
      <c r="Y436" s="128"/>
      <c r="Z436" s="146"/>
      <c r="AA436" s="128"/>
      <c r="AB436" s="146"/>
      <c r="AC436" s="128"/>
      <c r="AD436" s="146"/>
      <c r="AE436" s="128"/>
      <c r="AF436" s="146"/>
      <c r="AG436" s="128"/>
      <c r="AH436" s="146"/>
      <c r="AI436" s="128"/>
      <c r="AJ436" s="146"/>
      <c r="AK436" s="128"/>
      <c r="AL436" s="146"/>
      <c r="AM436" s="128"/>
      <c r="AN436" s="146"/>
    </row>
    <row r="437" spans="1:40" s="121" customFormat="1" ht="15" customHeight="1">
      <c r="A437" s="137" t="s">
        <v>1034</v>
      </c>
      <c r="B437" s="264" t="s">
        <v>1114</v>
      </c>
      <c r="C437" s="265">
        <v>365213</v>
      </c>
      <c r="D437" s="148">
        <v>14</v>
      </c>
      <c r="E437" s="128"/>
      <c r="F437" s="146"/>
      <c r="G437" s="128"/>
      <c r="H437" s="146"/>
      <c r="I437" s="128"/>
      <c r="J437" s="146"/>
      <c r="K437" s="128"/>
      <c r="L437" s="146"/>
      <c r="M437" s="128"/>
      <c r="N437" s="146"/>
      <c r="O437" s="128"/>
      <c r="P437" s="146"/>
      <c r="Q437" s="128"/>
      <c r="R437" s="146"/>
      <c r="S437" s="128"/>
      <c r="T437" s="146"/>
      <c r="U437" s="128"/>
      <c r="V437" s="146"/>
      <c r="W437" s="128"/>
      <c r="X437" s="146"/>
      <c r="Y437" s="128"/>
      <c r="Z437" s="146"/>
      <c r="AA437" s="128"/>
      <c r="AB437" s="146"/>
      <c r="AC437" s="128"/>
      <c r="AD437" s="146"/>
      <c r="AE437" s="128"/>
      <c r="AF437" s="146"/>
      <c r="AG437" s="128"/>
      <c r="AH437" s="146"/>
      <c r="AI437" s="128"/>
      <c r="AJ437" s="146"/>
      <c r="AK437" s="128"/>
      <c r="AL437" s="146"/>
      <c r="AM437" s="128"/>
      <c r="AN437" s="146"/>
    </row>
    <row r="438" spans="1:40" s="121" customFormat="1" ht="15" customHeight="1">
      <c r="A438" s="137" t="s">
        <v>1034</v>
      </c>
      <c r="B438" s="264" t="s">
        <v>1115</v>
      </c>
      <c r="C438" s="265">
        <v>364946</v>
      </c>
      <c r="D438" s="148">
        <v>14</v>
      </c>
      <c r="E438" s="128"/>
      <c r="F438" s="146"/>
      <c r="G438" s="128"/>
      <c r="H438" s="146"/>
      <c r="I438" s="128"/>
      <c r="J438" s="146"/>
      <c r="K438" s="128"/>
      <c r="L438" s="146"/>
      <c r="M438" s="128"/>
      <c r="N438" s="146"/>
      <c r="O438" s="128"/>
      <c r="P438" s="146"/>
      <c r="Q438" s="128"/>
      <c r="R438" s="146"/>
      <c r="S438" s="128"/>
      <c r="T438" s="146"/>
      <c r="U438" s="128"/>
      <c r="V438" s="146"/>
      <c r="W438" s="128"/>
      <c r="X438" s="146"/>
      <c r="Y438" s="128"/>
      <c r="Z438" s="146"/>
      <c r="AA438" s="128"/>
      <c r="AB438" s="146"/>
      <c r="AC438" s="128"/>
      <c r="AD438" s="146"/>
      <c r="AE438" s="128"/>
      <c r="AF438" s="146"/>
      <c r="AG438" s="128"/>
      <c r="AH438" s="146"/>
      <c r="AI438" s="128"/>
      <c r="AJ438" s="146"/>
      <c r="AK438" s="128"/>
      <c r="AL438" s="146"/>
      <c r="AM438" s="128"/>
      <c r="AN438" s="146"/>
    </row>
    <row r="439" spans="1:40" s="121" customFormat="1" ht="15" customHeight="1">
      <c r="A439" s="137" t="s">
        <v>1034</v>
      </c>
      <c r="B439" s="264" t="s">
        <v>1116</v>
      </c>
      <c r="C439" s="265">
        <v>365374</v>
      </c>
      <c r="D439" s="148">
        <v>14</v>
      </c>
      <c r="E439" s="128"/>
      <c r="F439" s="146"/>
      <c r="G439" s="128"/>
      <c r="H439" s="146"/>
      <c r="I439" s="128"/>
      <c r="J439" s="146"/>
      <c r="K439" s="128"/>
      <c r="L439" s="146"/>
      <c r="M439" s="128"/>
      <c r="N439" s="146"/>
      <c r="O439" s="128"/>
      <c r="P439" s="146"/>
      <c r="Q439" s="128"/>
      <c r="R439" s="146"/>
      <c r="S439" s="128"/>
      <c r="T439" s="146"/>
      <c r="U439" s="128"/>
      <c r="V439" s="146"/>
      <c r="W439" s="128"/>
      <c r="X439" s="146"/>
      <c r="Y439" s="128"/>
      <c r="Z439" s="146"/>
      <c r="AA439" s="128"/>
      <c r="AB439" s="146"/>
      <c r="AC439" s="128"/>
      <c r="AD439" s="146"/>
      <c r="AE439" s="128"/>
      <c r="AF439" s="146"/>
      <c r="AG439" s="128"/>
      <c r="AH439" s="146"/>
      <c r="AI439" s="128"/>
      <c r="AJ439" s="146"/>
      <c r="AK439" s="128"/>
      <c r="AL439" s="146"/>
      <c r="AM439" s="128"/>
      <c r="AN439" s="146"/>
    </row>
    <row r="440" spans="1:40" s="121" customFormat="1" ht="15" customHeight="1">
      <c r="A440" s="137" t="s">
        <v>1034</v>
      </c>
      <c r="B440" s="264" t="s">
        <v>1117</v>
      </c>
      <c r="C440" s="265">
        <v>246017</v>
      </c>
      <c r="D440" s="148">
        <v>14</v>
      </c>
      <c r="E440" s="128"/>
      <c r="F440" s="146"/>
      <c r="G440" s="128"/>
      <c r="H440" s="146"/>
      <c r="I440" s="128"/>
      <c r="J440" s="146"/>
      <c r="K440" s="128"/>
      <c r="L440" s="146"/>
      <c r="M440" s="128"/>
      <c r="N440" s="146"/>
      <c r="O440" s="128"/>
      <c r="P440" s="146"/>
      <c r="Q440" s="128"/>
      <c r="R440" s="146"/>
      <c r="S440" s="128"/>
      <c r="T440" s="146"/>
      <c r="U440" s="128"/>
      <c r="V440" s="146"/>
      <c r="W440" s="128"/>
      <c r="X440" s="146"/>
      <c r="Y440" s="128"/>
      <c r="Z440" s="146"/>
      <c r="AA440" s="128"/>
      <c r="AB440" s="146"/>
      <c r="AC440" s="128"/>
      <c r="AD440" s="146"/>
      <c r="AE440" s="128"/>
      <c r="AF440" s="146"/>
      <c r="AG440" s="128"/>
      <c r="AH440" s="146"/>
      <c r="AI440" s="128"/>
      <c r="AJ440" s="146"/>
      <c r="AK440" s="128"/>
      <c r="AL440" s="146"/>
      <c r="AM440" s="128"/>
      <c r="AN440" s="146"/>
    </row>
    <row r="441" spans="1:40" s="121" customFormat="1" ht="15" customHeight="1">
      <c r="A441" s="137" t="s">
        <v>1034</v>
      </c>
      <c r="B441" s="264" t="s">
        <v>1118</v>
      </c>
      <c r="C441" s="265">
        <v>375656</v>
      </c>
      <c r="D441" s="148">
        <v>14</v>
      </c>
      <c r="E441" s="128"/>
      <c r="F441" s="146"/>
      <c r="G441" s="128"/>
      <c r="H441" s="146"/>
      <c r="I441" s="128"/>
      <c r="J441" s="146"/>
      <c r="K441" s="128"/>
      <c r="L441" s="146"/>
      <c r="M441" s="128"/>
      <c r="N441" s="146"/>
      <c r="O441" s="128"/>
      <c r="P441" s="146"/>
      <c r="Q441" s="128"/>
      <c r="R441" s="146"/>
      <c r="S441" s="128"/>
      <c r="T441" s="146"/>
      <c r="U441" s="128"/>
      <c r="V441" s="146"/>
      <c r="W441" s="128"/>
      <c r="X441" s="146"/>
      <c r="Y441" s="128"/>
      <c r="Z441" s="146"/>
      <c r="AA441" s="128"/>
      <c r="AB441" s="146"/>
      <c r="AC441" s="128"/>
      <c r="AD441" s="146"/>
      <c r="AE441" s="128"/>
      <c r="AF441" s="146"/>
      <c r="AG441" s="128"/>
      <c r="AH441" s="146"/>
      <c r="AI441" s="128"/>
      <c r="AJ441" s="146"/>
      <c r="AK441" s="128"/>
      <c r="AL441" s="146"/>
      <c r="AM441" s="128"/>
      <c r="AN441" s="146"/>
    </row>
    <row r="442" spans="1:40" s="121" customFormat="1" ht="15" customHeight="1">
      <c r="A442" s="137" t="s">
        <v>1034</v>
      </c>
      <c r="B442" s="264" t="s">
        <v>1119</v>
      </c>
      <c r="C442" s="265">
        <v>418348</v>
      </c>
      <c r="D442" s="148">
        <v>14</v>
      </c>
      <c r="E442" s="128"/>
      <c r="F442" s="146"/>
      <c r="G442" s="128"/>
      <c r="H442" s="146"/>
      <c r="I442" s="128"/>
      <c r="J442" s="146"/>
      <c r="K442" s="128"/>
      <c r="L442" s="146"/>
      <c r="M442" s="128"/>
      <c r="N442" s="146"/>
      <c r="O442" s="128"/>
      <c r="P442" s="146"/>
      <c r="Q442" s="128"/>
      <c r="R442" s="146"/>
      <c r="S442" s="128"/>
      <c r="T442" s="146"/>
      <c r="U442" s="128"/>
      <c r="V442" s="146"/>
      <c r="W442" s="128"/>
      <c r="X442" s="146"/>
      <c r="Y442" s="128"/>
      <c r="Z442" s="146"/>
      <c r="AA442" s="128"/>
      <c r="AB442" s="146"/>
      <c r="AC442" s="128"/>
      <c r="AD442" s="146"/>
      <c r="AE442" s="128"/>
      <c r="AF442" s="146"/>
      <c r="AG442" s="128"/>
      <c r="AH442" s="146"/>
      <c r="AI442" s="128"/>
      <c r="AJ442" s="146"/>
      <c r="AK442" s="128"/>
      <c r="AL442" s="146"/>
      <c r="AM442" s="128"/>
      <c r="AN442" s="146"/>
    </row>
    <row r="443" spans="1:40" s="121" customFormat="1" ht="15" customHeight="1">
      <c r="A443" s="137" t="s">
        <v>1034</v>
      </c>
      <c r="B443" s="264" t="s">
        <v>574</v>
      </c>
      <c r="C443" s="265">
        <v>375683</v>
      </c>
      <c r="D443" s="148">
        <v>14</v>
      </c>
      <c r="E443" s="128"/>
      <c r="F443" s="146"/>
      <c r="G443" s="128"/>
      <c r="H443" s="146"/>
      <c r="I443" s="128"/>
      <c r="J443" s="146"/>
      <c r="K443" s="128"/>
      <c r="L443" s="146"/>
      <c r="M443" s="128"/>
      <c r="N443" s="146"/>
      <c r="O443" s="128"/>
      <c r="P443" s="146"/>
      <c r="Q443" s="128"/>
      <c r="R443" s="146"/>
      <c r="S443" s="128"/>
      <c r="T443" s="146"/>
      <c r="U443" s="128"/>
      <c r="V443" s="146"/>
      <c r="W443" s="128"/>
      <c r="X443" s="146"/>
      <c r="Y443" s="128"/>
      <c r="Z443" s="146"/>
      <c r="AA443" s="128"/>
      <c r="AB443" s="146"/>
      <c r="AC443" s="128"/>
      <c r="AD443" s="146"/>
      <c r="AE443" s="128"/>
      <c r="AF443" s="146"/>
      <c r="AG443" s="128"/>
      <c r="AH443" s="146"/>
      <c r="AI443" s="128"/>
      <c r="AJ443" s="146"/>
      <c r="AK443" s="128"/>
      <c r="AL443" s="146"/>
      <c r="AM443" s="128"/>
      <c r="AN443" s="146"/>
    </row>
    <row r="444" spans="1:40" s="121" customFormat="1" ht="15" customHeight="1">
      <c r="A444" s="137" t="s">
        <v>1034</v>
      </c>
      <c r="B444" s="264" t="s">
        <v>575</v>
      </c>
      <c r="C444" s="265">
        <v>364548</v>
      </c>
      <c r="D444" s="148">
        <v>14</v>
      </c>
      <c r="E444" s="128"/>
      <c r="F444" s="146"/>
      <c r="G444" s="128"/>
      <c r="H444" s="146"/>
      <c r="I444" s="128"/>
      <c r="J444" s="146"/>
      <c r="K444" s="128"/>
      <c r="L444" s="146"/>
      <c r="M444" s="128"/>
      <c r="N444" s="146"/>
      <c r="O444" s="128"/>
      <c r="P444" s="146"/>
      <c r="Q444" s="128"/>
      <c r="R444" s="146"/>
      <c r="S444" s="128"/>
      <c r="T444" s="146"/>
      <c r="U444" s="128"/>
      <c r="V444" s="146"/>
      <c r="W444" s="128"/>
      <c r="X444" s="146"/>
      <c r="Y444" s="128"/>
      <c r="Z444" s="146"/>
      <c r="AA444" s="128"/>
      <c r="AB444" s="146"/>
      <c r="AC444" s="128"/>
      <c r="AD444" s="146"/>
      <c r="AE444" s="128"/>
      <c r="AF444" s="146"/>
      <c r="AG444" s="128"/>
      <c r="AH444" s="146"/>
      <c r="AI444" s="128"/>
      <c r="AJ444" s="146"/>
      <c r="AK444" s="128"/>
      <c r="AL444" s="146"/>
      <c r="AM444" s="128"/>
      <c r="AN444" s="146"/>
    </row>
    <row r="445" spans="1:40" s="121" customFormat="1" ht="15" customHeight="1">
      <c r="A445" s="137" t="s">
        <v>1034</v>
      </c>
      <c r="B445" s="264" t="s">
        <v>576</v>
      </c>
      <c r="C445" s="265">
        <v>428019</v>
      </c>
      <c r="D445" s="148">
        <v>14</v>
      </c>
      <c r="E445" s="128"/>
      <c r="F445" s="146"/>
      <c r="G445" s="128"/>
      <c r="H445" s="146"/>
      <c r="I445" s="128"/>
      <c r="J445" s="146"/>
      <c r="K445" s="128"/>
      <c r="L445" s="146"/>
      <c r="M445" s="128"/>
      <c r="N445" s="146"/>
      <c r="O445" s="128"/>
      <c r="P445" s="146"/>
      <c r="Q445" s="128"/>
      <c r="R445" s="146"/>
      <c r="S445" s="128"/>
      <c r="T445" s="146"/>
      <c r="U445" s="128"/>
      <c r="V445" s="146"/>
      <c r="W445" s="128"/>
      <c r="X445" s="146"/>
      <c r="Y445" s="128"/>
      <c r="Z445" s="146"/>
      <c r="AA445" s="128"/>
      <c r="AB445" s="146"/>
      <c r="AC445" s="128"/>
      <c r="AD445" s="146"/>
      <c r="AE445" s="128"/>
      <c r="AF445" s="146"/>
      <c r="AG445" s="128"/>
      <c r="AH445" s="146"/>
      <c r="AI445" s="128"/>
      <c r="AJ445" s="146"/>
      <c r="AK445" s="128"/>
      <c r="AL445" s="146"/>
      <c r="AM445" s="128"/>
      <c r="AN445" s="146"/>
    </row>
    <row r="446" spans="1:40" s="121" customFormat="1" ht="15" customHeight="1">
      <c r="A446" s="137" t="s">
        <v>1034</v>
      </c>
      <c r="B446" s="264" t="s">
        <v>577</v>
      </c>
      <c r="C446" s="265">
        <v>208053</v>
      </c>
      <c r="D446" s="148">
        <v>14</v>
      </c>
      <c r="E446" s="128"/>
      <c r="F446" s="146"/>
      <c r="G446" s="128"/>
      <c r="H446" s="146"/>
      <c r="I446" s="128"/>
      <c r="J446" s="146"/>
      <c r="K446" s="128"/>
      <c r="L446" s="146"/>
      <c r="M446" s="128"/>
      <c r="N446" s="146"/>
      <c r="O446" s="128"/>
      <c r="P446" s="146"/>
      <c r="Q446" s="128"/>
      <c r="R446" s="146"/>
      <c r="S446" s="128"/>
      <c r="T446" s="146"/>
      <c r="U446" s="128"/>
      <c r="V446" s="146"/>
      <c r="W446" s="128"/>
      <c r="X446" s="146"/>
      <c r="Y446" s="128"/>
      <c r="Z446" s="146"/>
      <c r="AA446" s="128"/>
      <c r="AB446" s="146"/>
      <c r="AC446" s="128"/>
      <c r="AD446" s="146"/>
      <c r="AE446" s="128"/>
      <c r="AF446" s="146"/>
      <c r="AG446" s="128"/>
      <c r="AH446" s="146"/>
      <c r="AI446" s="128"/>
      <c r="AJ446" s="146"/>
      <c r="AK446" s="128"/>
      <c r="AL446" s="146"/>
      <c r="AM446" s="128"/>
      <c r="AN446" s="146"/>
    </row>
    <row r="447" spans="1:40" s="121" customFormat="1" ht="15" customHeight="1">
      <c r="A447" s="137" t="s">
        <v>1034</v>
      </c>
      <c r="B447" s="264" t="s">
        <v>578</v>
      </c>
      <c r="C447" s="265">
        <v>418296</v>
      </c>
      <c r="D447" s="148">
        <v>14</v>
      </c>
      <c r="E447" s="128"/>
      <c r="F447" s="146"/>
      <c r="G447" s="128"/>
      <c r="H447" s="146"/>
      <c r="I447" s="128"/>
      <c r="J447" s="146"/>
      <c r="K447" s="128"/>
      <c r="L447" s="146"/>
      <c r="M447" s="128"/>
      <c r="N447" s="146"/>
      <c r="O447" s="128"/>
      <c r="P447" s="146"/>
      <c r="Q447" s="128"/>
      <c r="R447" s="146"/>
      <c r="S447" s="128"/>
      <c r="T447" s="146"/>
      <c r="U447" s="128"/>
      <c r="V447" s="146"/>
      <c r="W447" s="128"/>
      <c r="X447" s="146"/>
      <c r="Y447" s="128"/>
      <c r="Z447" s="146"/>
      <c r="AA447" s="128"/>
      <c r="AB447" s="146"/>
      <c r="AC447" s="128"/>
      <c r="AD447" s="146"/>
      <c r="AE447" s="128"/>
      <c r="AF447" s="146"/>
      <c r="AG447" s="128"/>
      <c r="AH447" s="146"/>
      <c r="AI447" s="128"/>
      <c r="AJ447" s="146"/>
      <c r="AK447" s="128"/>
      <c r="AL447" s="146"/>
      <c r="AM447" s="128"/>
      <c r="AN447" s="146"/>
    </row>
    <row r="448" spans="1:40" s="121" customFormat="1" ht="15" customHeight="1">
      <c r="A448" s="137" t="s">
        <v>1034</v>
      </c>
      <c r="B448" s="264" t="s">
        <v>579</v>
      </c>
      <c r="C448" s="265">
        <v>421540</v>
      </c>
      <c r="D448" s="148">
        <v>14</v>
      </c>
      <c r="E448" s="128"/>
      <c r="F448" s="146"/>
      <c r="G448" s="128"/>
      <c r="H448" s="146"/>
      <c r="I448" s="128"/>
      <c r="J448" s="146"/>
      <c r="K448" s="128"/>
      <c r="L448" s="146"/>
      <c r="M448" s="128"/>
      <c r="N448" s="146"/>
      <c r="O448" s="128"/>
      <c r="P448" s="146"/>
      <c r="Q448" s="128"/>
      <c r="R448" s="146"/>
      <c r="S448" s="128"/>
      <c r="T448" s="146"/>
      <c r="U448" s="128"/>
      <c r="V448" s="146"/>
      <c r="W448" s="128"/>
      <c r="X448" s="146"/>
      <c r="Y448" s="128"/>
      <c r="Z448" s="146"/>
      <c r="AA448" s="128"/>
      <c r="AB448" s="146"/>
      <c r="AC448" s="128"/>
      <c r="AD448" s="146"/>
      <c r="AE448" s="128"/>
      <c r="AF448" s="146"/>
      <c r="AG448" s="128"/>
      <c r="AH448" s="146"/>
      <c r="AI448" s="128"/>
      <c r="AJ448" s="146"/>
      <c r="AK448" s="128"/>
      <c r="AL448" s="146"/>
      <c r="AM448" s="128"/>
      <c r="AN448" s="146"/>
    </row>
    <row r="449" spans="1:40" s="121" customFormat="1" ht="15" customHeight="1">
      <c r="A449" s="137" t="s">
        <v>1034</v>
      </c>
      <c r="B449" s="264" t="s">
        <v>580</v>
      </c>
      <c r="C449" s="265">
        <v>421559</v>
      </c>
      <c r="D449" s="148">
        <v>14</v>
      </c>
      <c r="E449" s="128"/>
      <c r="F449" s="146"/>
      <c r="G449" s="128"/>
      <c r="H449" s="146"/>
      <c r="I449" s="128"/>
      <c r="J449" s="146"/>
      <c r="K449" s="128"/>
      <c r="L449" s="146"/>
      <c r="M449" s="128"/>
      <c r="N449" s="146"/>
      <c r="O449" s="128"/>
      <c r="P449" s="146"/>
      <c r="Q449" s="128"/>
      <c r="R449" s="146"/>
      <c r="S449" s="128"/>
      <c r="T449" s="146"/>
      <c r="U449" s="128"/>
      <c r="V449" s="146"/>
      <c r="W449" s="128"/>
      <c r="X449" s="146"/>
      <c r="Y449" s="128"/>
      <c r="Z449" s="146"/>
      <c r="AA449" s="128"/>
      <c r="AB449" s="146"/>
      <c r="AC449" s="128"/>
      <c r="AD449" s="146"/>
      <c r="AE449" s="128"/>
      <c r="AF449" s="146"/>
      <c r="AG449" s="128"/>
      <c r="AH449" s="146"/>
      <c r="AI449" s="128"/>
      <c r="AJ449" s="146"/>
      <c r="AK449" s="128"/>
      <c r="AL449" s="146"/>
      <c r="AM449" s="128"/>
      <c r="AN449" s="146"/>
    </row>
    <row r="450" spans="1:40" s="121" customFormat="1" ht="15" customHeight="1">
      <c r="A450" s="137" t="s">
        <v>1034</v>
      </c>
      <c r="B450" s="264" t="s">
        <v>581</v>
      </c>
      <c r="C450" s="265">
        <v>208026</v>
      </c>
      <c r="D450" s="148">
        <v>14</v>
      </c>
      <c r="E450" s="128"/>
      <c r="F450" s="146"/>
      <c r="G450" s="128"/>
      <c r="H450" s="146"/>
      <c r="I450" s="128"/>
      <c r="J450" s="146"/>
      <c r="K450" s="128"/>
      <c r="L450" s="146"/>
      <c r="M450" s="128"/>
      <c r="N450" s="146"/>
      <c r="O450" s="128"/>
      <c r="P450" s="146"/>
      <c r="Q450" s="128"/>
      <c r="R450" s="146"/>
      <c r="S450" s="128"/>
      <c r="T450" s="146"/>
      <c r="U450" s="128"/>
      <c r="V450" s="146"/>
      <c r="W450" s="128"/>
      <c r="X450" s="146"/>
      <c r="Y450" s="128"/>
      <c r="Z450" s="146"/>
      <c r="AA450" s="128"/>
      <c r="AB450" s="146"/>
      <c r="AC450" s="128"/>
      <c r="AD450" s="146"/>
      <c r="AE450" s="128"/>
      <c r="AF450" s="146"/>
      <c r="AG450" s="128"/>
      <c r="AH450" s="146"/>
      <c r="AI450" s="128"/>
      <c r="AJ450" s="146"/>
      <c r="AK450" s="128"/>
      <c r="AL450" s="146"/>
      <c r="AM450" s="128"/>
      <c r="AN450" s="146"/>
    </row>
    <row r="451" spans="1:40" s="121" customFormat="1" ht="15" customHeight="1">
      <c r="A451" s="137" t="s">
        <v>1034</v>
      </c>
      <c r="B451" s="264" t="s">
        <v>0</v>
      </c>
      <c r="C451" s="265">
        <v>375692</v>
      </c>
      <c r="D451" s="148">
        <v>14</v>
      </c>
      <c r="E451" s="128"/>
      <c r="F451" s="146"/>
      <c r="G451" s="128"/>
      <c r="H451" s="146"/>
      <c r="I451" s="128"/>
      <c r="J451" s="146"/>
      <c r="K451" s="128"/>
      <c r="L451" s="146"/>
      <c r="M451" s="128"/>
      <c r="N451" s="146"/>
      <c r="O451" s="128"/>
      <c r="P451" s="146"/>
      <c r="Q451" s="128"/>
      <c r="R451" s="146"/>
      <c r="S451" s="128"/>
      <c r="T451" s="146"/>
      <c r="U451" s="128"/>
      <c r="V451" s="146"/>
      <c r="W451" s="128"/>
      <c r="X451" s="146"/>
      <c r="Y451" s="128"/>
      <c r="Z451" s="146"/>
      <c r="AA451" s="128"/>
      <c r="AB451" s="146"/>
      <c r="AC451" s="128"/>
      <c r="AD451" s="146"/>
      <c r="AE451" s="128"/>
      <c r="AF451" s="146"/>
      <c r="AG451" s="128"/>
      <c r="AH451" s="146"/>
      <c r="AI451" s="128"/>
      <c r="AJ451" s="146"/>
      <c r="AK451" s="128"/>
      <c r="AL451" s="146"/>
      <c r="AM451" s="128"/>
      <c r="AN451" s="146"/>
    </row>
    <row r="452" spans="1:40" s="121" customFormat="1" ht="15" customHeight="1">
      <c r="A452" s="137" t="s">
        <v>1034</v>
      </c>
      <c r="B452" s="264" t="s">
        <v>1</v>
      </c>
      <c r="C452" s="265">
        <v>375708</v>
      </c>
      <c r="D452" s="148">
        <v>14</v>
      </c>
      <c r="E452" s="128"/>
      <c r="F452" s="146"/>
      <c r="G452" s="128"/>
      <c r="H452" s="146"/>
      <c r="I452" s="128"/>
      <c r="J452" s="146"/>
      <c r="K452" s="128"/>
      <c r="L452" s="146"/>
      <c r="M452" s="128"/>
      <c r="N452" s="146"/>
      <c r="O452" s="128"/>
      <c r="P452" s="146"/>
      <c r="Q452" s="128"/>
      <c r="R452" s="146"/>
      <c r="S452" s="128"/>
      <c r="T452" s="146"/>
      <c r="U452" s="128"/>
      <c r="V452" s="146"/>
      <c r="W452" s="128"/>
      <c r="X452" s="146"/>
      <c r="Y452" s="128"/>
      <c r="Z452" s="146"/>
      <c r="AA452" s="128"/>
      <c r="AB452" s="146"/>
      <c r="AC452" s="128"/>
      <c r="AD452" s="146"/>
      <c r="AE452" s="128"/>
      <c r="AF452" s="146"/>
      <c r="AG452" s="128"/>
      <c r="AH452" s="146"/>
      <c r="AI452" s="128"/>
      <c r="AJ452" s="146"/>
      <c r="AK452" s="128"/>
      <c r="AL452" s="146"/>
      <c r="AM452" s="128"/>
      <c r="AN452" s="146"/>
    </row>
    <row r="453" spans="1:40" s="121" customFormat="1" ht="15" customHeight="1">
      <c r="A453" s="137" t="s">
        <v>1034</v>
      </c>
      <c r="B453" s="264" t="s">
        <v>2</v>
      </c>
      <c r="C453" s="265">
        <v>375717</v>
      </c>
      <c r="D453" s="148">
        <v>14</v>
      </c>
      <c r="E453" s="128"/>
      <c r="F453" s="146"/>
      <c r="G453" s="128"/>
      <c r="H453" s="146"/>
      <c r="I453" s="128"/>
      <c r="J453" s="146"/>
      <c r="K453" s="128"/>
      <c r="L453" s="146"/>
      <c r="M453" s="128"/>
      <c r="N453" s="146"/>
      <c r="O453" s="128"/>
      <c r="P453" s="146"/>
      <c r="Q453" s="128"/>
      <c r="R453" s="146"/>
      <c r="S453" s="128"/>
      <c r="T453" s="146"/>
      <c r="U453" s="128"/>
      <c r="V453" s="146"/>
      <c r="W453" s="128"/>
      <c r="X453" s="146"/>
      <c r="Y453" s="128"/>
      <c r="Z453" s="146"/>
      <c r="AA453" s="128"/>
      <c r="AB453" s="146"/>
      <c r="AC453" s="128"/>
      <c r="AD453" s="146"/>
      <c r="AE453" s="128"/>
      <c r="AF453" s="146"/>
      <c r="AG453" s="128"/>
      <c r="AH453" s="146"/>
      <c r="AI453" s="128"/>
      <c r="AJ453" s="146"/>
      <c r="AK453" s="128"/>
      <c r="AL453" s="146"/>
      <c r="AM453" s="128"/>
      <c r="AN453" s="146"/>
    </row>
    <row r="454" spans="1:40" s="121" customFormat="1" ht="15" customHeight="1">
      <c r="A454" s="137" t="s">
        <v>1034</v>
      </c>
      <c r="B454" s="264" t="s">
        <v>3</v>
      </c>
      <c r="C454" s="265">
        <v>375735</v>
      </c>
      <c r="D454" s="148">
        <v>14</v>
      </c>
      <c r="E454" s="128"/>
      <c r="F454" s="146">
        <v>1312</v>
      </c>
      <c r="G454" s="128"/>
      <c r="H454" s="146">
        <v>2625</v>
      </c>
      <c r="I454" s="128"/>
      <c r="J454" s="146"/>
      <c r="K454" s="128"/>
      <c r="L454" s="146"/>
      <c r="M454" s="128"/>
      <c r="N454" s="146"/>
      <c r="O454" s="128"/>
      <c r="P454" s="146"/>
      <c r="Q454" s="128"/>
      <c r="R454" s="146"/>
      <c r="S454" s="128"/>
      <c r="T454" s="146"/>
      <c r="U454" s="128"/>
      <c r="V454" s="146"/>
      <c r="W454" s="128"/>
      <c r="X454" s="146"/>
      <c r="Y454" s="128"/>
      <c r="Z454" s="146"/>
      <c r="AA454" s="128"/>
      <c r="AB454" s="146"/>
      <c r="AC454" s="128"/>
      <c r="AD454" s="146"/>
      <c r="AE454" s="128"/>
      <c r="AF454" s="146"/>
      <c r="AG454" s="128"/>
      <c r="AH454" s="146"/>
      <c r="AI454" s="128"/>
      <c r="AJ454" s="146"/>
      <c r="AK454" s="128"/>
      <c r="AL454" s="146"/>
      <c r="AM454" s="128"/>
      <c r="AN454" s="146"/>
    </row>
    <row r="455" spans="1:40" s="121" customFormat="1" ht="15" customHeight="1">
      <c r="A455" s="137" t="s">
        <v>1034</v>
      </c>
      <c r="B455" s="264" t="s">
        <v>4</v>
      </c>
      <c r="C455" s="265">
        <v>375726</v>
      </c>
      <c r="D455" s="148">
        <v>14</v>
      </c>
      <c r="E455" s="128"/>
      <c r="F455" s="146"/>
      <c r="G455" s="128"/>
      <c r="H455" s="146"/>
      <c r="I455" s="128"/>
      <c r="J455" s="146"/>
      <c r="K455" s="128"/>
      <c r="L455" s="146"/>
      <c r="M455" s="128"/>
      <c r="N455" s="146"/>
      <c r="O455" s="128"/>
      <c r="P455" s="146"/>
      <c r="Q455" s="128"/>
      <c r="R455" s="146"/>
      <c r="S455" s="128"/>
      <c r="T455" s="146"/>
      <c r="U455" s="128"/>
      <c r="V455" s="146"/>
      <c r="W455" s="128"/>
      <c r="X455" s="146"/>
      <c r="Y455" s="128"/>
      <c r="Z455" s="146"/>
      <c r="AA455" s="128"/>
      <c r="AB455" s="146"/>
      <c r="AC455" s="128"/>
      <c r="AD455" s="146"/>
      <c r="AE455" s="128"/>
      <c r="AF455" s="146"/>
      <c r="AG455" s="128"/>
      <c r="AH455" s="146"/>
      <c r="AI455" s="128"/>
      <c r="AJ455" s="146"/>
      <c r="AK455" s="128"/>
      <c r="AL455" s="146"/>
      <c r="AM455" s="128"/>
      <c r="AN455" s="146"/>
    </row>
    <row r="456" spans="1:40" s="121" customFormat="1" ht="15" customHeight="1">
      <c r="A456" s="137" t="s">
        <v>1034</v>
      </c>
      <c r="B456" s="264" t="s">
        <v>5</v>
      </c>
      <c r="C456" s="265">
        <v>375744</v>
      </c>
      <c r="D456" s="148">
        <v>14</v>
      </c>
      <c r="E456" s="128"/>
      <c r="F456" s="146"/>
      <c r="G456" s="128"/>
      <c r="H456" s="146"/>
      <c r="I456" s="128"/>
      <c r="J456" s="146"/>
      <c r="K456" s="128"/>
      <c r="L456" s="146"/>
      <c r="M456" s="128"/>
      <c r="N456" s="146"/>
      <c r="O456" s="128"/>
      <c r="P456" s="146"/>
      <c r="Q456" s="128"/>
      <c r="R456" s="146"/>
      <c r="S456" s="128"/>
      <c r="T456" s="146"/>
      <c r="U456" s="128"/>
      <c r="V456" s="146"/>
      <c r="W456" s="128"/>
      <c r="X456" s="146"/>
      <c r="Y456" s="128"/>
      <c r="Z456" s="146"/>
      <c r="AA456" s="128"/>
      <c r="AB456" s="146"/>
      <c r="AC456" s="128"/>
      <c r="AD456" s="146"/>
      <c r="AE456" s="128"/>
      <c r="AF456" s="146"/>
      <c r="AG456" s="128"/>
      <c r="AH456" s="146"/>
      <c r="AI456" s="128"/>
      <c r="AJ456" s="146"/>
      <c r="AK456" s="128"/>
      <c r="AL456" s="146"/>
      <c r="AM456" s="128"/>
      <c r="AN456" s="146"/>
    </row>
    <row r="457" spans="1:40" s="121" customFormat="1" ht="15" customHeight="1">
      <c r="A457" s="137" t="s">
        <v>1034</v>
      </c>
      <c r="B457" s="264" t="s">
        <v>6</v>
      </c>
      <c r="C457" s="265">
        <v>375753</v>
      </c>
      <c r="D457" s="148">
        <v>14</v>
      </c>
      <c r="E457" s="128"/>
      <c r="F457" s="146"/>
      <c r="G457" s="128"/>
      <c r="H457" s="146"/>
      <c r="I457" s="128"/>
      <c r="J457" s="146"/>
      <c r="K457" s="128"/>
      <c r="L457" s="146"/>
      <c r="M457" s="128"/>
      <c r="N457" s="146"/>
      <c r="O457" s="128"/>
      <c r="P457" s="146"/>
      <c r="Q457" s="128"/>
      <c r="R457" s="146"/>
      <c r="S457" s="128"/>
      <c r="T457" s="146"/>
      <c r="U457" s="128"/>
      <c r="V457" s="146"/>
      <c r="W457" s="128"/>
      <c r="X457" s="146"/>
      <c r="Y457" s="128"/>
      <c r="Z457" s="146"/>
      <c r="AA457" s="128"/>
      <c r="AB457" s="146"/>
      <c r="AC457" s="128"/>
      <c r="AD457" s="146"/>
      <c r="AE457" s="128"/>
      <c r="AF457" s="146"/>
      <c r="AG457" s="128"/>
      <c r="AH457" s="146"/>
      <c r="AI457" s="128"/>
      <c r="AJ457" s="146"/>
      <c r="AK457" s="128"/>
      <c r="AL457" s="146"/>
      <c r="AM457" s="128"/>
      <c r="AN457" s="146"/>
    </row>
    <row r="458" spans="1:40" s="121" customFormat="1" ht="15" customHeight="1">
      <c r="A458" s="137" t="s">
        <v>1034</v>
      </c>
      <c r="B458" s="264" t="s">
        <v>7</v>
      </c>
      <c r="C458" s="265">
        <v>405748</v>
      </c>
      <c r="D458" s="148">
        <v>14</v>
      </c>
      <c r="E458" s="128"/>
      <c r="F458" s="146">
        <v>2625</v>
      </c>
      <c r="G458" s="128"/>
      <c r="H458" s="146">
        <v>2625</v>
      </c>
      <c r="I458" s="128"/>
      <c r="J458" s="146"/>
      <c r="K458" s="128"/>
      <c r="L458" s="146"/>
      <c r="M458" s="128"/>
      <c r="N458" s="146"/>
      <c r="O458" s="128"/>
      <c r="P458" s="146"/>
      <c r="Q458" s="128"/>
      <c r="R458" s="146"/>
      <c r="S458" s="128"/>
      <c r="T458" s="146"/>
      <c r="U458" s="128"/>
      <c r="V458" s="146"/>
      <c r="W458" s="128"/>
      <c r="X458" s="146"/>
      <c r="Y458" s="128"/>
      <c r="Z458" s="146"/>
      <c r="AA458" s="128"/>
      <c r="AB458" s="146"/>
      <c r="AC458" s="128"/>
      <c r="AD458" s="146"/>
      <c r="AE458" s="128"/>
      <c r="AF458" s="146"/>
      <c r="AG458" s="128"/>
      <c r="AH458" s="146"/>
      <c r="AI458" s="128"/>
      <c r="AJ458" s="146"/>
      <c r="AK458" s="128"/>
      <c r="AL458" s="146"/>
      <c r="AM458" s="128"/>
      <c r="AN458" s="146"/>
    </row>
    <row r="459" spans="1:40" s="121" customFormat="1" ht="15" customHeight="1">
      <c r="A459" s="137" t="s">
        <v>1034</v>
      </c>
      <c r="B459" s="264" t="s">
        <v>8</v>
      </c>
      <c r="C459" s="265">
        <v>375762</v>
      </c>
      <c r="D459" s="148">
        <v>14</v>
      </c>
      <c r="E459" s="128"/>
      <c r="F459" s="146"/>
      <c r="G459" s="128"/>
      <c r="H459" s="146"/>
      <c r="I459" s="128"/>
      <c r="J459" s="146"/>
      <c r="K459" s="128"/>
      <c r="L459" s="146"/>
      <c r="M459" s="128"/>
      <c r="N459" s="146"/>
      <c r="O459" s="128"/>
      <c r="P459" s="146"/>
      <c r="Q459" s="128"/>
      <c r="R459" s="146"/>
      <c r="S459" s="128"/>
      <c r="T459" s="146"/>
      <c r="U459" s="128"/>
      <c r="V459" s="146"/>
      <c r="W459" s="128"/>
      <c r="X459" s="146"/>
      <c r="Y459" s="128"/>
      <c r="Z459" s="146"/>
      <c r="AA459" s="128"/>
      <c r="AB459" s="146"/>
      <c r="AC459" s="128"/>
      <c r="AD459" s="146"/>
      <c r="AE459" s="128"/>
      <c r="AF459" s="146"/>
      <c r="AG459" s="128"/>
      <c r="AH459" s="146"/>
      <c r="AI459" s="128"/>
      <c r="AJ459" s="146"/>
      <c r="AK459" s="128"/>
      <c r="AL459" s="146"/>
      <c r="AM459" s="128"/>
      <c r="AN459" s="146"/>
    </row>
    <row r="460" spans="1:40" s="121" customFormat="1" ht="15" customHeight="1">
      <c r="A460" s="137" t="s">
        <v>1034</v>
      </c>
      <c r="B460" s="264" t="s">
        <v>9</v>
      </c>
      <c r="C460" s="265">
        <v>365480</v>
      </c>
      <c r="D460" s="148">
        <v>14</v>
      </c>
      <c r="E460" s="128"/>
      <c r="F460" s="146"/>
      <c r="G460" s="128"/>
      <c r="H460" s="146"/>
      <c r="I460" s="128"/>
      <c r="J460" s="146"/>
      <c r="K460" s="128"/>
      <c r="L460" s="146"/>
      <c r="M460" s="128"/>
      <c r="N460" s="146"/>
      <c r="O460" s="128"/>
      <c r="P460" s="146"/>
      <c r="Q460" s="128"/>
      <c r="R460" s="146"/>
      <c r="S460" s="128"/>
      <c r="T460" s="146"/>
      <c r="U460" s="128"/>
      <c r="V460" s="146"/>
      <c r="W460" s="128"/>
      <c r="X460" s="146"/>
      <c r="Y460" s="128"/>
      <c r="Z460" s="146"/>
      <c r="AA460" s="128"/>
      <c r="AB460" s="146"/>
      <c r="AC460" s="128"/>
      <c r="AD460" s="146"/>
      <c r="AE460" s="128"/>
      <c r="AF460" s="146"/>
      <c r="AG460" s="128"/>
      <c r="AH460" s="146"/>
      <c r="AI460" s="128"/>
      <c r="AJ460" s="146"/>
      <c r="AK460" s="128"/>
      <c r="AL460" s="146"/>
      <c r="AM460" s="128"/>
      <c r="AN460" s="146"/>
    </row>
    <row r="461" spans="1:40" s="121" customFormat="1" ht="15" customHeight="1">
      <c r="A461" s="137" t="s">
        <v>1034</v>
      </c>
      <c r="B461" s="264" t="s">
        <v>10</v>
      </c>
      <c r="C461" s="265">
        <v>363165</v>
      </c>
      <c r="D461" s="148">
        <v>14</v>
      </c>
      <c r="E461" s="128"/>
      <c r="F461" s="146"/>
      <c r="G461" s="128"/>
      <c r="H461" s="146"/>
      <c r="I461" s="128"/>
      <c r="J461" s="146"/>
      <c r="K461" s="128"/>
      <c r="L461" s="146"/>
      <c r="M461" s="128"/>
      <c r="N461" s="146"/>
      <c r="O461" s="128"/>
      <c r="P461" s="146"/>
      <c r="Q461" s="128"/>
      <c r="R461" s="146"/>
      <c r="S461" s="128"/>
      <c r="T461" s="146"/>
      <c r="U461" s="128"/>
      <c r="V461" s="146"/>
      <c r="W461" s="128"/>
      <c r="X461" s="146"/>
      <c r="Y461" s="128"/>
      <c r="Z461" s="146"/>
      <c r="AA461" s="128"/>
      <c r="AB461" s="146"/>
      <c r="AC461" s="128"/>
      <c r="AD461" s="146"/>
      <c r="AE461" s="128"/>
      <c r="AF461" s="146"/>
      <c r="AG461" s="128"/>
      <c r="AH461" s="146"/>
      <c r="AI461" s="128"/>
      <c r="AJ461" s="146"/>
      <c r="AK461" s="128"/>
      <c r="AL461" s="146"/>
      <c r="AM461" s="128"/>
      <c r="AN461" s="146"/>
    </row>
    <row r="462" spans="1:40" s="121" customFormat="1" ht="15" customHeight="1">
      <c r="A462" s="137" t="s">
        <v>1034</v>
      </c>
      <c r="B462" s="264" t="s">
        <v>11</v>
      </c>
      <c r="C462" s="265">
        <v>418320</v>
      </c>
      <c r="D462" s="148">
        <v>14</v>
      </c>
      <c r="E462" s="128"/>
      <c r="F462" s="146">
        <v>1050</v>
      </c>
      <c r="G462" s="128"/>
      <c r="H462" s="146">
        <v>1050</v>
      </c>
      <c r="I462" s="128"/>
      <c r="J462" s="146"/>
      <c r="K462" s="128"/>
      <c r="L462" s="146"/>
      <c r="M462" s="128"/>
      <c r="N462" s="146"/>
      <c r="O462" s="128"/>
      <c r="P462" s="146"/>
      <c r="Q462" s="128"/>
      <c r="R462" s="146"/>
      <c r="S462" s="128"/>
      <c r="T462" s="146"/>
      <c r="U462" s="128"/>
      <c r="V462" s="146"/>
      <c r="W462" s="128"/>
      <c r="X462" s="146"/>
      <c r="Y462" s="128"/>
      <c r="Z462" s="146"/>
      <c r="AA462" s="128"/>
      <c r="AB462" s="146"/>
      <c r="AC462" s="128"/>
      <c r="AD462" s="146"/>
      <c r="AE462" s="128"/>
      <c r="AF462" s="146"/>
      <c r="AG462" s="128"/>
      <c r="AH462" s="146"/>
      <c r="AI462" s="128"/>
      <c r="AJ462" s="146"/>
      <c r="AK462" s="128"/>
      <c r="AL462" s="146"/>
      <c r="AM462" s="128"/>
      <c r="AN462" s="146"/>
    </row>
    <row r="463" spans="1:40" s="121" customFormat="1" ht="15" customHeight="1">
      <c r="A463" s="137" t="s">
        <v>1034</v>
      </c>
      <c r="B463" s="264" t="s">
        <v>12</v>
      </c>
      <c r="C463" s="265">
        <v>431017</v>
      </c>
      <c r="D463" s="148">
        <v>14</v>
      </c>
      <c r="E463" s="128"/>
      <c r="F463" s="146"/>
      <c r="G463" s="128"/>
      <c r="H463" s="146"/>
      <c r="I463" s="128"/>
      <c r="J463" s="146"/>
      <c r="K463" s="128"/>
      <c r="L463" s="146"/>
      <c r="M463" s="128"/>
      <c r="N463" s="146"/>
      <c r="O463" s="128"/>
      <c r="P463" s="146"/>
      <c r="Q463" s="128"/>
      <c r="R463" s="146"/>
      <c r="S463" s="128"/>
      <c r="T463" s="146"/>
      <c r="U463" s="128"/>
      <c r="V463" s="146"/>
      <c r="W463" s="128"/>
      <c r="X463" s="146"/>
      <c r="Y463" s="128"/>
      <c r="Z463" s="146"/>
      <c r="AA463" s="128"/>
      <c r="AB463" s="146"/>
      <c r="AC463" s="128"/>
      <c r="AD463" s="146"/>
      <c r="AE463" s="128"/>
      <c r="AF463" s="146"/>
      <c r="AG463" s="128"/>
      <c r="AH463" s="146"/>
      <c r="AI463" s="128"/>
      <c r="AJ463" s="146"/>
      <c r="AK463" s="128"/>
      <c r="AL463" s="146"/>
      <c r="AM463" s="128"/>
      <c r="AN463" s="146"/>
    </row>
    <row r="464" spans="1:40" s="121" customFormat="1" ht="15" customHeight="1">
      <c r="A464" s="137" t="s">
        <v>1034</v>
      </c>
      <c r="B464" s="264" t="s">
        <v>13</v>
      </c>
      <c r="C464" s="265">
        <v>248606</v>
      </c>
      <c r="D464" s="148">
        <v>14</v>
      </c>
      <c r="E464" s="128"/>
      <c r="F464" s="146"/>
      <c r="G464" s="128"/>
      <c r="H464" s="146"/>
      <c r="I464" s="128"/>
      <c r="J464" s="146"/>
      <c r="K464" s="128"/>
      <c r="L464" s="146"/>
      <c r="M464" s="128"/>
      <c r="N464" s="146"/>
      <c r="O464" s="128"/>
      <c r="P464" s="146"/>
      <c r="Q464" s="128"/>
      <c r="R464" s="146"/>
      <c r="S464" s="128"/>
      <c r="T464" s="146"/>
      <c r="U464" s="128"/>
      <c r="V464" s="146"/>
      <c r="W464" s="128"/>
      <c r="X464" s="146"/>
      <c r="Y464" s="128"/>
      <c r="Z464" s="146"/>
      <c r="AA464" s="128"/>
      <c r="AB464" s="146"/>
      <c r="AC464" s="128"/>
      <c r="AD464" s="146"/>
      <c r="AE464" s="128"/>
      <c r="AF464" s="146"/>
      <c r="AG464" s="128"/>
      <c r="AH464" s="146"/>
      <c r="AI464" s="128"/>
      <c r="AJ464" s="146"/>
      <c r="AK464" s="128"/>
      <c r="AL464" s="146"/>
      <c r="AM464" s="128"/>
      <c r="AN464" s="146"/>
    </row>
    <row r="465" spans="1:40" s="121" customFormat="1" ht="15" customHeight="1">
      <c r="A465" s="137" t="s">
        <v>1034</v>
      </c>
      <c r="B465" s="264" t="s">
        <v>14</v>
      </c>
      <c r="C465" s="265">
        <v>420459</v>
      </c>
      <c r="D465" s="148">
        <v>14</v>
      </c>
      <c r="E465" s="128"/>
      <c r="F465" s="146"/>
      <c r="G465" s="128"/>
      <c r="H465" s="146"/>
      <c r="I465" s="128"/>
      <c r="J465" s="146"/>
      <c r="K465" s="128"/>
      <c r="L465" s="146"/>
      <c r="M465" s="128"/>
      <c r="N465" s="146"/>
      <c r="O465" s="128"/>
      <c r="P465" s="146"/>
      <c r="Q465" s="128"/>
      <c r="R465" s="146"/>
      <c r="S465" s="128"/>
      <c r="T465" s="146"/>
      <c r="U465" s="128"/>
      <c r="V465" s="146"/>
      <c r="W465" s="128"/>
      <c r="X465" s="146"/>
      <c r="Y465" s="128"/>
      <c r="Z465" s="146"/>
      <c r="AA465" s="128"/>
      <c r="AB465" s="146"/>
      <c r="AC465" s="128"/>
      <c r="AD465" s="146"/>
      <c r="AE465" s="128"/>
      <c r="AF465" s="146"/>
      <c r="AG465" s="128"/>
      <c r="AH465" s="146"/>
      <c r="AI465" s="128"/>
      <c r="AJ465" s="146"/>
      <c r="AK465" s="128"/>
      <c r="AL465" s="146"/>
      <c r="AM465" s="128"/>
      <c r="AN465" s="146"/>
    </row>
    <row r="466" spans="1:40" s="121" customFormat="1" ht="15" customHeight="1">
      <c r="A466" s="137" t="s">
        <v>1034</v>
      </c>
      <c r="B466" s="264" t="s">
        <v>15</v>
      </c>
      <c r="C466" s="265">
        <v>432074</v>
      </c>
      <c r="D466" s="148">
        <v>14</v>
      </c>
      <c r="E466" s="128"/>
      <c r="F466" s="146"/>
      <c r="G466" s="128"/>
      <c r="H466" s="146"/>
      <c r="I466" s="128"/>
      <c r="J466" s="146"/>
      <c r="K466" s="128"/>
      <c r="L466" s="146"/>
      <c r="M466" s="128"/>
      <c r="N466" s="146"/>
      <c r="O466" s="128"/>
      <c r="P466" s="146"/>
      <c r="Q466" s="128"/>
      <c r="R466" s="146"/>
      <c r="S466" s="128"/>
      <c r="T466" s="146"/>
      <c r="U466" s="128"/>
      <c r="V466" s="146"/>
      <c r="W466" s="128"/>
      <c r="X466" s="146"/>
      <c r="Y466" s="128"/>
      <c r="Z466" s="146"/>
      <c r="AA466" s="128"/>
      <c r="AB466" s="146"/>
      <c r="AC466" s="128"/>
      <c r="AD466" s="146"/>
      <c r="AE466" s="128"/>
      <c r="AF466" s="146"/>
      <c r="AG466" s="128"/>
      <c r="AH466" s="146"/>
      <c r="AI466" s="128"/>
      <c r="AJ466" s="146"/>
      <c r="AK466" s="128"/>
      <c r="AL466" s="146"/>
      <c r="AM466" s="128"/>
      <c r="AN466" s="146"/>
    </row>
    <row r="467" spans="1:40" s="121" customFormat="1" ht="15" customHeight="1">
      <c r="A467" s="137" t="s">
        <v>1034</v>
      </c>
      <c r="B467" s="264" t="s">
        <v>16</v>
      </c>
      <c r="C467" s="265">
        <v>418339</v>
      </c>
      <c r="D467" s="148">
        <v>14</v>
      </c>
      <c r="E467" s="128"/>
      <c r="F467" s="146"/>
      <c r="G467" s="128"/>
      <c r="H467" s="146"/>
      <c r="I467" s="128"/>
      <c r="J467" s="146"/>
      <c r="K467" s="128"/>
      <c r="L467" s="146"/>
      <c r="M467" s="128"/>
      <c r="N467" s="146"/>
      <c r="O467" s="128"/>
      <c r="P467" s="146"/>
      <c r="Q467" s="128"/>
      <c r="R467" s="146"/>
      <c r="S467" s="128"/>
      <c r="T467" s="146"/>
      <c r="U467" s="128"/>
      <c r="V467" s="146"/>
      <c r="W467" s="128"/>
      <c r="X467" s="146"/>
      <c r="Y467" s="128"/>
      <c r="Z467" s="146"/>
      <c r="AA467" s="128"/>
      <c r="AB467" s="146"/>
      <c r="AC467" s="128"/>
      <c r="AD467" s="146"/>
      <c r="AE467" s="128"/>
      <c r="AF467" s="146"/>
      <c r="AG467" s="128"/>
      <c r="AH467" s="146"/>
      <c r="AI467" s="128"/>
      <c r="AJ467" s="146"/>
      <c r="AK467" s="128"/>
      <c r="AL467" s="146"/>
      <c r="AM467" s="128"/>
      <c r="AN467" s="146"/>
    </row>
    <row r="468" spans="1:40" s="121" customFormat="1" ht="15" customHeight="1">
      <c r="A468" s="137" t="s">
        <v>1034</v>
      </c>
      <c r="B468" s="264" t="s">
        <v>17</v>
      </c>
      <c r="C468" s="265">
        <v>366623</v>
      </c>
      <c r="D468" s="148">
        <v>14</v>
      </c>
      <c r="E468" s="128"/>
      <c r="F468" s="146"/>
      <c r="G468" s="128"/>
      <c r="H468" s="146"/>
      <c r="I468" s="128"/>
      <c r="J468" s="146"/>
      <c r="K468" s="128"/>
      <c r="L468" s="146"/>
      <c r="M468" s="128"/>
      <c r="N468" s="146"/>
      <c r="O468" s="128"/>
      <c r="P468" s="146"/>
      <c r="Q468" s="128"/>
      <c r="R468" s="146"/>
      <c r="S468" s="128"/>
      <c r="T468" s="146"/>
      <c r="U468" s="128"/>
      <c r="V468" s="146"/>
      <c r="W468" s="128"/>
      <c r="X468" s="146"/>
      <c r="Y468" s="128"/>
      <c r="Z468" s="146"/>
      <c r="AA468" s="128"/>
      <c r="AB468" s="146"/>
      <c r="AC468" s="128"/>
      <c r="AD468" s="146"/>
      <c r="AE468" s="128"/>
      <c r="AF468" s="146"/>
      <c r="AG468" s="128"/>
      <c r="AH468" s="146"/>
      <c r="AI468" s="128"/>
      <c r="AJ468" s="146"/>
      <c r="AK468" s="128"/>
      <c r="AL468" s="146"/>
      <c r="AM468" s="128"/>
      <c r="AN468" s="146"/>
    </row>
    <row r="469" spans="1:40" s="121" customFormat="1" ht="15" customHeight="1">
      <c r="A469" s="137" t="s">
        <v>1034</v>
      </c>
      <c r="B469" s="264" t="s">
        <v>18</v>
      </c>
      <c r="C469" s="265">
        <v>407601</v>
      </c>
      <c r="D469" s="148">
        <v>14</v>
      </c>
      <c r="E469" s="128"/>
      <c r="F469" s="146"/>
      <c r="G469" s="128"/>
      <c r="H469" s="146"/>
      <c r="I469" s="128"/>
      <c r="J469" s="146"/>
      <c r="K469" s="128"/>
      <c r="L469" s="146"/>
      <c r="M469" s="128"/>
      <c r="N469" s="146"/>
      <c r="O469" s="128"/>
      <c r="P469" s="146"/>
      <c r="Q469" s="128"/>
      <c r="R469" s="146"/>
      <c r="S469" s="128"/>
      <c r="T469" s="146"/>
      <c r="U469" s="128"/>
      <c r="V469" s="146"/>
      <c r="W469" s="128"/>
      <c r="X469" s="146"/>
      <c r="Y469" s="128"/>
      <c r="Z469" s="146"/>
      <c r="AA469" s="128"/>
      <c r="AB469" s="146"/>
      <c r="AC469" s="128"/>
      <c r="AD469" s="146"/>
      <c r="AE469" s="128"/>
      <c r="AF469" s="146"/>
      <c r="AG469" s="128"/>
      <c r="AH469" s="146"/>
      <c r="AI469" s="128"/>
      <c r="AJ469" s="146"/>
      <c r="AK469" s="128"/>
      <c r="AL469" s="146"/>
      <c r="AM469" s="128"/>
      <c r="AN469" s="146"/>
    </row>
    <row r="470" spans="1:40" s="121" customFormat="1" ht="15" customHeight="1">
      <c r="A470" s="137" t="s">
        <v>1034</v>
      </c>
      <c r="B470" s="264" t="s">
        <v>19</v>
      </c>
      <c r="C470" s="265">
        <v>364627</v>
      </c>
      <c r="D470" s="148">
        <v>14</v>
      </c>
      <c r="E470" s="128"/>
      <c r="F470" s="146"/>
      <c r="G470" s="128"/>
      <c r="H470" s="146"/>
      <c r="I470" s="128"/>
      <c r="J470" s="146"/>
      <c r="K470" s="128"/>
      <c r="L470" s="146"/>
      <c r="M470" s="128"/>
      <c r="N470" s="146"/>
      <c r="O470" s="128"/>
      <c r="P470" s="146"/>
      <c r="Q470" s="128"/>
      <c r="R470" s="146"/>
      <c r="S470" s="128"/>
      <c r="T470" s="146"/>
      <c r="U470" s="128"/>
      <c r="V470" s="146"/>
      <c r="W470" s="128"/>
      <c r="X470" s="146"/>
      <c r="Y470" s="128"/>
      <c r="Z470" s="146"/>
      <c r="AA470" s="128"/>
      <c r="AB470" s="146"/>
      <c r="AC470" s="128"/>
      <c r="AD470" s="146"/>
      <c r="AE470" s="128"/>
      <c r="AF470" s="146"/>
      <c r="AG470" s="128"/>
      <c r="AH470" s="146"/>
      <c r="AI470" s="128"/>
      <c r="AJ470" s="146"/>
      <c r="AK470" s="128"/>
      <c r="AL470" s="146"/>
      <c r="AM470" s="128"/>
      <c r="AN470" s="146"/>
    </row>
    <row r="471" spans="1:40" s="121" customFormat="1" ht="15" customHeight="1">
      <c r="A471" s="137" t="s">
        <v>1034</v>
      </c>
      <c r="B471" s="264" t="s">
        <v>20</v>
      </c>
      <c r="C471" s="265">
        <v>206905</v>
      </c>
      <c r="D471" s="148">
        <v>14</v>
      </c>
      <c r="E471" s="128"/>
      <c r="F471" s="146"/>
      <c r="G471" s="128"/>
      <c r="H471" s="146"/>
      <c r="I471" s="128"/>
      <c r="J471" s="146"/>
      <c r="K471" s="128"/>
      <c r="L471" s="146"/>
      <c r="M471" s="128"/>
      <c r="N471" s="146"/>
      <c r="O471" s="128"/>
      <c r="P471" s="146"/>
      <c r="Q471" s="128"/>
      <c r="R471" s="146"/>
      <c r="S471" s="128"/>
      <c r="T471" s="146"/>
      <c r="U471" s="128"/>
      <c r="V471" s="146"/>
      <c r="W471" s="128"/>
      <c r="X471" s="146"/>
      <c r="Y471" s="128"/>
      <c r="Z471" s="146"/>
      <c r="AA471" s="128"/>
      <c r="AB471" s="146"/>
      <c r="AC471" s="128"/>
      <c r="AD471" s="146"/>
      <c r="AE471" s="128"/>
      <c r="AF471" s="146"/>
      <c r="AG471" s="128"/>
      <c r="AH471" s="146"/>
      <c r="AI471" s="128"/>
      <c r="AJ471" s="146"/>
      <c r="AK471" s="128"/>
      <c r="AL471" s="146"/>
      <c r="AM471" s="128"/>
      <c r="AN471" s="146"/>
    </row>
    <row r="472" spans="1:40" s="121" customFormat="1" ht="15" customHeight="1">
      <c r="A472" s="137" t="s">
        <v>1034</v>
      </c>
      <c r="B472" s="264" t="s">
        <v>21</v>
      </c>
      <c r="C472" s="265">
        <v>250993</v>
      </c>
      <c r="D472" s="148">
        <v>14</v>
      </c>
      <c r="E472" s="128"/>
      <c r="F472" s="146"/>
      <c r="G472" s="128"/>
      <c r="H472" s="146"/>
      <c r="I472" s="128"/>
      <c r="J472" s="146"/>
      <c r="K472" s="128"/>
      <c r="L472" s="146"/>
      <c r="M472" s="128"/>
      <c r="N472" s="146"/>
      <c r="O472" s="128"/>
      <c r="P472" s="146"/>
      <c r="Q472" s="128"/>
      <c r="R472" s="146"/>
      <c r="S472" s="128"/>
      <c r="T472" s="146"/>
      <c r="U472" s="128"/>
      <c r="V472" s="146"/>
      <c r="W472" s="128"/>
      <c r="X472" s="146"/>
      <c r="Y472" s="128"/>
      <c r="Z472" s="146"/>
      <c r="AA472" s="128"/>
      <c r="AB472" s="146"/>
      <c r="AC472" s="128"/>
      <c r="AD472" s="146"/>
      <c r="AE472" s="128"/>
      <c r="AF472" s="146"/>
      <c r="AG472" s="128"/>
      <c r="AH472" s="146"/>
      <c r="AI472" s="128"/>
      <c r="AJ472" s="146"/>
      <c r="AK472" s="128"/>
      <c r="AL472" s="146"/>
      <c r="AM472" s="128"/>
      <c r="AN472" s="146"/>
    </row>
    <row r="473" spans="1:40" s="121" customFormat="1" ht="15" customHeight="1">
      <c r="A473" s="137" t="s">
        <v>1034</v>
      </c>
      <c r="B473" s="264" t="s">
        <v>22</v>
      </c>
      <c r="C473" s="265">
        <v>365198</v>
      </c>
      <c r="D473" s="148">
        <v>14</v>
      </c>
      <c r="E473" s="128"/>
      <c r="F473" s="146"/>
      <c r="G473" s="128"/>
      <c r="H473" s="146"/>
      <c r="I473" s="128"/>
      <c r="J473" s="146"/>
      <c r="K473" s="128"/>
      <c r="L473" s="146"/>
      <c r="M473" s="128"/>
      <c r="N473" s="146"/>
      <c r="O473" s="128"/>
      <c r="P473" s="146"/>
      <c r="Q473" s="128"/>
      <c r="R473" s="146"/>
      <c r="S473" s="128"/>
      <c r="T473" s="146"/>
      <c r="U473" s="128"/>
      <c r="V473" s="146"/>
      <c r="W473" s="128"/>
      <c r="X473" s="146"/>
      <c r="Y473" s="128"/>
      <c r="Z473" s="146"/>
      <c r="AA473" s="128"/>
      <c r="AB473" s="146"/>
      <c r="AC473" s="128"/>
      <c r="AD473" s="146"/>
      <c r="AE473" s="128"/>
      <c r="AF473" s="146"/>
      <c r="AG473" s="128"/>
      <c r="AH473" s="146"/>
      <c r="AI473" s="128"/>
      <c r="AJ473" s="146"/>
      <c r="AK473" s="128"/>
      <c r="AL473" s="146"/>
      <c r="AM473" s="128"/>
      <c r="AN473" s="146"/>
    </row>
    <row r="474" spans="1:40" s="121" customFormat="1" ht="15" customHeight="1">
      <c r="A474" s="137" t="s">
        <v>1034</v>
      </c>
      <c r="B474" s="264" t="s">
        <v>23</v>
      </c>
      <c r="C474" s="265">
        <v>368364</v>
      </c>
      <c r="D474" s="148">
        <v>14</v>
      </c>
      <c r="E474" s="128"/>
      <c r="F474" s="146"/>
      <c r="G474" s="128"/>
      <c r="H474" s="146"/>
      <c r="I474" s="128"/>
      <c r="J474" s="146"/>
      <c r="K474" s="128"/>
      <c r="L474" s="146"/>
      <c r="M474" s="128"/>
      <c r="N474" s="146"/>
      <c r="O474" s="128"/>
      <c r="P474" s="146"/>
      <c r="Q474" s="128"/>
      <c r="R474" s="146"/>
      <c r="S474" s="128"/>
      <c r="T474" s="146"/>
      <c r="U474" s="128"/>
      <c r="V474" s="146"/>
      <c r="W474" s="128"/>
      <c r="X474" s="146"/>
      <c r="Y474" s="128"/>
      <c r="Z474" s="146"/>
      <c r="AA474" s="128"/>
      <c r="AB474" s="146"/>
      <c r="AC474" s="128"/>
      <c r="AD474" s="146"/>
      <c r="AE474" s="128"/>
      <c r="AF474" s="146"/>
      <c r="AG474" s="128"/>
      <c r="AH474" s="146"/>
      <c r="AI474" s="128"/>
      <c r="AJ474" s="146"/>
      <c r="AK474" s="128"/>
      <c r="AL474" s="146"/>
      <c r="AM474" s="128"/>
      <c r="AN474" s="146"/>
    </row>
    <row r="475" spans="1:40" s="121" customFormat="1" ht="15" customHeight="1">
      <c r="A475" s="137" t="s">
        <v>1034</v>
      </c>
      <c r="B475" s="264" t="s">
        <v>24</v>
      </c>
      <c r="C475" s="265">
        <v>418287</v>
      </c>
      <c r="D475" s="148">
        <v>14</v>
      </c>
      <c r="E475" s="128"/>
      <c r="F475" s="146"/>
      <c r="G475" s="128"/>
      <c r="H475" s="146"/>
      <c r="I475" s="128"/>
      <c r="J475" s="146"/>
      <c r="K475" s="128"/>
      <c r="L475" s="146"/>
      <c r="M475" s="128"/>
      <c r="N475" s="146"/>
      <c r="O475" s="128"/>
      <c r="P475" s="146"/>
      <c r="Q475" s="128"/>
      <c r="R475" s="146"/>
      <c r="S475" s="128"/>
      <c r="T475" s="146"/>
      <c r="U475" s="128"/>
      <c r="V475" s="146"/>
      <c r="W475" s="128"/>
      <c r="X475" s="146"/>
      <c r="Y475" s="128"/>
      <c r="Z475" s="146"/>
      <c r="AA475" s="128"/>
      <c r="AB475" s="146"/>
      <c r="AC475" s="128"/>
      <c r="AD475" s="146"/>
      <c r="AE475" s="128"/>
      <c r="AF475" s="146"/>
      <c r="AG475" s="128"/>
      <c r="AH475" s="146"/>
      <c r="AI475" s="128"/>
      <c r="AJ475" s="146"/>
      <c r="AK475" s="128"/>
      <c r="AL475" s="146"/>
      <c r="AM475" s="128"/>
      <c r="AN475" s="146"/>
    </row>
    <row r="476" spans="1:40" s="121" customFormat="1" ht="15" customHeight="1">
      <c r="A476" s="137" t="s">
        <v>1034</v>
      </c>
      <c r="B476" s="264" t="s">
        <v>25</v>
      </c>
      <c r="C476" s="265">
        <v>207607</v>
      </c>
      <c r="D476" s="148">
        <v>14</v>
      </c>
      <c r="E476" s="128"/>
      <c r="F476" s="146"/>
      <c r="G476" s="128"/>
      <c r="H476" s="146"/>
      <c r="I476" s="128"/>
      <c r="J476" s="146"/>
      <c r="K476" s="128"/>
      <c r="L476" s="146"/>
      <c r="M476" s="128"/>
      <c r="N476" s="146"/>
      <c r="O476" s="128"/>
      <c r="P476" s="146"/>
      <c r="Q476" s="128"/>
      <c r="R476" s="146"/>
      <c r="S476" s="128"/>
      <c r="T476" s="146"/>
      <c r="U476" s="128"/>
      <c r="V476" s="146"/>
      <c r="W476" s="128"/>
      <c r="X476" s="146"/>
      <c r="Y476" s="128"/>
      <c r="Z476" s="146"/>
      <c r="AA476" s="128"/>
      <c r="AB476" s="146"/>
      <c r="AC476" s="128"/>
      <c r="AD476" s="146"/>
      <c r="AE476" s="128"/>
      <c r="AF476" s="146"/>
      <c r="AG476" s="128"/>
      <c r="AH476" s="146"/>
      <c r="AI476" s="128"/>
      <c r="AJ476" s="146"/>
      <c r="AK476" s="128"/>
      <c r="AL476" s="146"/>
      <c r="AM476" s="128"/>
      <c r="AN476" s="146"/>
    </row>
    <row r="477" spans="1:40" s="121" customFormat="1" ht="15" customHeight="1">
      <c r="A477" s="137" t="s">
        <v>1034</v>
      </c>
      <c r="B477" s="264" t="s">
        <v>26</v>
      </c>
      <c r="C477" s="265">
        <v>261393</v>
      </c>
      <c r="D477" s="148">
        <v>14</v>
      </c>
      <c r="E477" s="128"/>
      <c r="F477" s="146"/>
      <c r="G477" s="128"/>
      <c r="H477" s="146"/>
      <c r="I477" s="128"/>
      <c r="J477" s="146"/>
      <c r="K477" s="128"/>
      <c r="L477" s="146"/>
      <c r="M477" s="128"/>
      <c r="N477" s="146"/>
      <c r="O477" s="128"/>
      <c r="P477" s="146"/>
      <c r="Q477" s="128"/>
      <c r="R477" s="146"/>
      <c r="S477" s="128"/>
      <c r="T477" s="146"/>
      <c r="U477" s="128"/>
      <c r="V477" s="146"/>
      <c r="W477" s="128"/>
      <c r="X477" s="146"/>
      <c r="Y477" s="128"/>
      <c r="Z477" s="146"/>
      <c r="AA477" s="128"/>
      <c r="AB477" s="146"/>
      <c r="AC477" s="128"/>
      <c r="AD477" s="146"/>
      <c r="AE477" s="128"/>
      <c r="AF477" s="146"/>
      <c r="AG477" s="128"/>
      <c r="AH477" s="146"/>
      <c r="AI477" s="128"/>
      <c r="AJ477" s="146"/>
      <c r="AK477" s="128"/>
      <c r="AL477" s="146"/>
      <c r="AM477" s="128"/>
      <c r="AN477" s="146"/>
    </row>
    <row r="478" spans="1:40" s="121" customFormat="1" ht="15" customHeight="1">
      <c r="A478" s="137" t="s">
        <v>1034</v>
      </c>
      <c r="B478" s="264" t="s">
        <v>27</v>
      </c>
      <c r="C478" s="265">
        <v>261375</v>
      </c>
      <c r="D478" s="148">
        <v>14</v>
      </c>
      <c r="E478" s="128"/>
      <c r="F478" s="146"/>
      <c r="G478" s="128"/>
      <c r="H478" s="146"/>
      <c r="I478" s="128"/>
      <c r="J478" s="146"/>
      <c r="K478" s="128"/>
      <c r="L478" s="146"/>
      <c r="M478" s="128"/>
      <c r="N478" s="146"/>
      <c r="O478" s="128"/>
      <c r="P478" s="146"/>
      <c r="Q478" s="128"/>
      <c r="R478" s="146"/>
      <c r="S478" s="128"/>
      <c r="T478" s="146"/>
      <c r="U478" s="128"/>
      <c r="V478" s="146"/>
      <c r="W478" s="128"/>
      <c r="X478" s="146"/>
      <c r="Y478" s="128"/>
      <c r="Z478" s="146"/>
      <c r="AA478" s="128"/>
      <c r="AB478" s="146"/>
      <c r="AC478" s="128"/>
      <c r="AD478" s="146"/>
      <c r="AE478" s="128"/>
      <c r="AF478" s="146"/>
      <c r="AG478" s="128"/>
      <c r="AH478" s="146"/>
      <c r="AI478" s="128"/>
      <c r="AJ478" s="146"/>
      <c r="AK478" s="128"/>
      <c r="AL478" s="146"/>
      <c r="AM478" s="128"/>
      <c r="AN478" s="146"/>
    </row>
    <row r="479" spans="1:40" s="121" customFormat="1" ht="15" customHeight="1">
      <c r="A479" s="137" t="s">
        <v>1034</v>
      </c>
      <c r="B479" s="264" t="s">
        <v>28</v>
      </c>
      <c r="C479" s="265">
        <v>261384</v>
      </c>
      <c r="D479" s="148">
        <v>14</v>
      </c>
      <c r="E479" s="128"/>
      <c r="F479" s="146"/>
      <c r="G479" s="128"/>
      <c r="H479" s="146"/>
      <c r="I479" s="128"/>
      <c r="J479" s="146"/>
      <c r="K479" s="128"/>
      <c r="L479" s="146"/>
      <c r="M479" s="128"/>
      <c r="N479" s="146"/>
      <c r="O479" s="128"/>
      <c r="P479" s="146"/>
      <c r="Q479" s="128"/>
      <c r="R479" s="146"/>
      <c r="S479" s="128"/>
      <c r="T479" s="146"/>
      <c r="U479" s="128"/>
      <c r="V479" s="146"/>
      <c r="W479" s="128"/>
      <c r="X479" s="146"/>
      <c r="Y479" s="128"/>
      <c r="Z479" s="146"/>
      <c r="AA479" s="128"/>
      <c r="AB479" s="146"/>
      <c r="AC479" s="128"/>
      <c r="AD479" s="146"/>
      <c r="AE479" s="128"/>
      <c r="AF479" s="146"/>
      <c r="AG479" s="128"/>
      <c r="AH479" s="146"/>
      <c r="AI479" s="128"/>
      <c r="AJ479" s="146"/>
      <c r="AK479" s="128"/>
      <c r="AL479" s="146"/>
      <c r="AM479" s="128"/>
      <c r="AN479" s="146"/>
    </row>
    <row r="480" spans="1:40" s="121" customFormat="1" ht="15" customHeight="1">
      <c r="A480" s="137" t="s">
        <v>1034</v>
      </c>
      <c r="B480" s="264" t="s">
        <v>586</v>
      </c>
      <c r="C480" s="265">
        <v>418357</v>
      </c>
      <c r="D480" s="148">
        <v>14</v>
      </c>
      <c r="E480" s="128"/>
      <c r="F480" s="146"/>
      <c r="G480" s="128"/>
      <c r="H480" s="146"/>
      <c r="I480" s="128"/>
      <c r="J480" s="146"/>
      <c r="K480" s="128"/>
      <c r="L480" s="146"/>
      <c r="M480" s="128"/>
      <c r="N480" s="146"/>
      <c r="O480" s="128"/>
      <c r="P480" s="146"/>
      <c r="Q480" s="128"/>
      <c r="R480" s="146"/>
      <c r="S480" s="128"/>
      <c r="T480" s="146"/>
      <c r="U480" s="128"/>
      <c r="V480" s="146"/>
      <c r="W480" s="128"/>
      <c r="X480" s="146"/>
      <c r="Y480" s="128"/>
      <c r="Z480" s="146"/>
      <c r="AA480" s="128"/>
      <c r="AB480" s="146"/>
      <c r="AC480" s="128"/>
      <c r="AD480" s="146"/>
      <c r="AE480" s="128"/>
      <c r="AF480" s="146"/>
      <c r="AG480" s="128"/>
      <c r="AH480" s="146"/>
      <c r="AI480" s="128"/>
      <c r="AJ480" s="146"/>
      <c r="AK480" s="128"/>
      <c r="AL480" s="146"/>
      <c r="AM480" s="128"/>
      <c r="AN480" s="146"/>
    </row>
    <row r="481" spans="1:40" s="121" customFormat="1" ht="15" customHeight="1">
      <c r="A481" s="137" t="s">
        <v>1034</v>
      </c>
      <c r="B481" s="264" t="s">
        <v>587</v>
      </c>
      <c r="C481" s="265">
        <v>418302</v>
      </c>
      <c r="D481" s="148">
        <v>14</v>
      </c>
      <c r="E481" s="128"/>
      <c r="F481" s="146"/>
      <c r="G481" s="128"/>
      <c r="H481" s="146"/>
      <c r="I481" s="128"/>
      <c r="J481" s="146"/>
      <c r="K481" s="128"/>
      <c r="L481" s="146"/>
      <c r="M481" s="128"/>
      <c r="N481" s="146"/>
      <c r="O481" s="128"/>
      <c r="P481" s="146"/>
      <c r="Q481" s="128"/>
      <c r="R481" s="146"/>
      <c r="S481" s="128"/>
      <c r="T481" s="146"/>
      <c r="U481" s="128"/>
      <c r="V481" s="146"/>
      <c r="W481" s="128"/>
      <c r="X481" s="146"/>
      <c r="Y481" s="128"/>
      <c r="Z481" s="146"/>
      <c r="AA481" s="128"/>
      <c r="AB481" s="146"/>
      <c r="AC481" s="128"/>
      <c r="AD481" s="146"/>
      <c r="AE481" s="128"/>
      <c r="AF481" s="146"/>
      <c r="AG481" s="128"/>
      <c r="AH481" s="146"/>
      <c r="AI481" s="128"/>
      <c r="AJ481" s="146"/>
      <c r="AK481" s="128"/>
      <c r="AL481" s="146"/>
      <c r="AM481" s="128"/>
      <c r="AN481" s="146"/>
    </row>
    <row r="482" spans="1:40" s="121" customFormat="1" ht="15" customHeight="1">
      <c r="A482" s="141" t="s">
        <v>400</v>
      </c>
      <c r="B482" s="141" t="s">
        <v>310</v>
      </c>
      <c r="C482" s="142">
        <v>217882</v>
      </c>
      <c r="D482" s="143">
        <v>1</v>
      </c>
      <c r="E482" s="128">
        <v>6934</v>
      </c>
      <c r="F482" s="146">
        <v>7840</v>
      </c>
      <c r="G482" s="128">
        <v>14532</v>
      </c>
      <c r="H482" s="146">
        <v>16404</v>
      </c>
      <c r="I482" s="128">
        <v>7232</v>
      </c>
      <c r="J482" s="146">
        <v>8176</v>
      </c>
      <c r="K482" s="128">
        <v>14532</v>
      </c>
      <c r="L482" s="146">
        <v>16404</v>
      </c>
      <c r="M482" s="128"/>
      <c r="N482" s="146"/>
      <c r="O482" s="128"/>
      <c r="P482" s="146"/>
      <c r="Q482" s="128"/>
      <c r="R482" s="146"/>
      <c r="S482" s="128"/>
      <c r="T482" s="146"/>
      <c r="U482" s="128"/>
      <c r="V482" s="146"/>
      <c r="W482" s="128"/>
      <c r="X482" s="146"/>
      <c r="Y482" s="128"/>
      <c r="Z482" s="146"/>
      <c r="AA482" s="128"/>
      <c r="AB482" s="146"/>
      <c r="AC482" s="128"/>
      <c r="AD482" s="146"/>
      <c r="AE482" s="128"/>
      <c r="AF482" s="146"/>
      <c r="AG482" s="128"/>
      <c r="AH482" s="146"/>
      <c r="AI482" s="128"/>
      <c r="AJ482" s="146"/>
      <c r="AK482" s="128"/>
      <c r="AL482" s="146"/>
      <c r="AM482" s="128"/>
      <c r="AN482" s="146"/>
    </row>
    <row r="483" spans="1:40" s="121" customFormat="1" ht="15" customHeight="1">
      <c r="A483" s="141" t="s">
        <v>400</v>
      </c>
      <c r="B483" s="141" t="s">
        <v>311</v>
      </c>
      <c r="C483" s="142">
        <v>218663</v>
      </c>
      <c r="D483" s="143">
        <v>1</v>
      </c>
      <c r="E483" s="128">
        <v>5778</v>
      </c>
      <c r="F483" s="146">
        <v>6416</v>
      </c>
      <c r="G483" s="128">
        <v>15116</v>
      </c>
      <c r="H483" s="146">
        <v>16784</v>
      </c>
      <c r="I483" s="128">
        <v>5778</v>
      </c>
      <c r="J483" s="146">
        <v>7150</v>
      </c>
      <c r="K483" s="128">
        <v>15116</v>
      </c>
      <c r="L483" s="146">
        <v>15180</v>
      </c>
      <c r="M483" s="128">
        <v>13064</v>
      </c>
      <c r="N483" s="146">
        <v>14378</v>
      </c>
      <c r="O483" s="128">
        <v>26170</v>
      </c>
      <c r="P483" s="146">
        <v>28794</v>
      </c>
      <c r="Q483" s="128">
        <v>17130</v>
      </c>
      <c r="R483" s="146">
        <v>18850</v>
      </c>
      <c r="S483" s="128">
        <v>49100</v>
      </c>
      <c r="T483" s="146">
        <v>54018</v>
      </c>
      <c r="U483" s="128"/>
      <c r="V483" s="146"/>
      <c r="W483" s="128"/>
      <c r="X483" s="146"/>
      <c r="Y483" s="128"/>
      <c r="Z483" s="146"/>
      <c r="AA483" s="128"/>
      <c r="AB483" s="146"/>
      <c r="AC483" s="128"/>
      <c r="AD483" s="146"/>
      <c r="AE483" s="128"/>
      <c r="AF483" s="146"/>
      <c r="AG483" s="128"/>
      <c r="AH483" s="146"/>
      <c r="AI483" s="128"/>
      <c r="AJ483" s="146"/>
      <c r="AK483" s="128"/>
      <c r="AL483" s="146"/>
      <c r="AM483" s="128"/>
      <c r="AN483" s="146"/>
    </row>
    <row r="484" spans="1:40" s="121" customFormat="1" ht="15" customHeight="1">
      <c r="A484" s="141" t="s">
        <v>400</v>
      </c>
      <c r="B484" s="141" t="s">
        <v>312</v>
      </c>
      <c r="C484" s="142">
        <v>218964</v>
      </c>
      <c r="D484" s="143">
        <v>3</v>
      </c>
      <c r="E484" s="128">
        <v>6652</v>
      </c>
      <c r="F484" s="146">
        <v>7816</v>
      </c>
      <c r="G484" s="128">
        <v>12258</v>
      </c>
      <c r="H484" s="146">
        <v>14410</v>
      </c>
      <c r="I484" s="128">
        <v>6406</v>
      </c>
      <c r="J484" s="146">
        <v>7528</v>
      </c>
      <c r="K484" s="128">
        <v>11782</v>
      </c>
      <c r="L484" s="146">
        <v>13844</v>
      </c>
      <c r="M484" s="128"/>
      <c r="N484" s="146"/>
      <c r="O484" s="128"/>
      <c r="P484" s="146"/>
      <c r="Q484" s="128"/>
      <c r="R484" s="146"/>
      <c r="S484" s="128"/>
      <c r="T484" s="146"/>
      <c r="U484" s="128"/>
      <c r="V484" s="146"/>
      <c r="W484" s="128"/>
      <c r="X484" s="146"/>
      <c r="Y484" s="128"/>
      <c r="Z484" s="146"/>
      <c r="AA484" s="128"/>
      <c r="AB484" s="146"/>
      <c r="AC484" s="128"/>
      <c r="AD484" s="146"/>
      <c r="AE484" s="128"/>
      <c r="AF484" s="146"/>
      <c r="AG484" s="128"/>
      <c r="AH484" s="146"/>
      <c r="AI484" s="128"/>
      <c r="AJ484" s="146"/>
      <c r="AK484" s="128"/>
      <c r="AL484" s="146"/>
      <c r="AM484" s="128"/>
      <c r="AN484" s="146"/>
    </row>
    <row r="485" spans="1:40" s="121" customFormat="1" ht="15" customHeight="1">
      <c r="A485" s="141" t="s">
        <v>400</v>
      </c>
      <c r="B485" s="141" t="s">
        <v>313</v>
      </c>
      <c r="C485" s="142">
        <v>217819</v>
      </c>
      <c r="D485" s="143">
        <v>4</v>
      </c>
      <c r="E485" s="128">
        <v>5770</v>
      </c>
      <c r="F485" s="146">
        <v>6202</v>
      </c>
      <c r="G485" s="128">
        <v>13032</v>
      </c>
      <c r="H485" s="146">
        <v>14140</v>
      </c>
      <c r="I485" s="128">
        <v>5770</v>
      </c>
      <c r="J485" s="146">
        <v>6202</v>
      </c>
      <c r="K485" s="128">
        <v>13032</v>
      </c>
      <c r="L485" s="146">
        <v>14140</v>
      </c>
      <c r="M485" s="128"/>
      <c r="N485" s="146"/>
      <c r="O485" s="128"/>
      <c r="P485" s="146"/>
      <c r="Q485" s="128"/>
      <c r="R485" s="146"/>
      <c r="S485" s="128"/>
      <c r="T485" s="146"/>
      <c r="U485" s="128"/>
      <c r="V485" s="146"/>
      <c r="W485" s="128"/>
      <c r="X485" s="146"/>
      <c r="Y485" s="128"/>
      <c r="Z485" s="146"/>
      <c r="AA485" s="128"/>
      <c r="AB485" s="146"/>
      <c r="AC485" s="128"/>
      <c r="AD485" s="146"/>
      <c r="AE485" s="128"/>
      <c r="AF485" s="146"/>
      <c r="AG485" s="128"/>
      <c r="AH485" s="146"/>
      <c r="AI485" s="128"/>
      <c r="AJ485" s="146"/>
      <c r="AK485" s="128"/>
      <c r="AL485" s="146"/>
      <c r="AM485" s="128"/>
      <c r="AN485" s="146"/>
    </row>
    <row r="486" spans="1:40" s="121" customFormat="1" ht="15" customHeight="1">
      <c r="A486" s="141" t="s">
        <v>400</v>
      </c>
      <c r="B486" s="141" t="s">
        <v>314</v>
      </c>
      <c r="C486" s="142">
        <v>217864</v>
      </c>
      <c r="D486" s="143">
        <v>4</v>
      </c>
      <c r="E486" s="128">
        <v>4999</v>
      </c>
      <c r="F486" s="146">
        <v>5900</v>
      </c>
      <c r="G486" s="128">
        <v>13410</v>
      </c>
      <c r="H486" s="146">
        <v>14518</v>
      </c>
      <c r="I486" s="128">
        <v>4944</v>
      </c>
      <c r="J486" s="146">
        <v>5200</v>
      </c>
      <c r="K486" s="128">
        <v>9192</v>
      </c>
      <c r="L486" s="146">
        <v>9664</v>
      </c>
      <c r="M486" s="128"/>
      <c r="N486" s="146"/>
      <c r="O486" s="128"/>
      <c r="P486" s="146"/>
      <c r="Q486" s="128"/>
      <c r="R486" s="146"/>
      <c r="S486" s="128"/>
      <c r="T486" s="146"/>
      <c r="U486" s="128"/>
      <c r="V486" s="146"/>
      <c r="W486" s="128"/>
      <c r="X486" s="146"/>
      <c r="Y486" s="128"/>
      <c r="Z486" s="146"/>
      <c r="AA486" s="128"/>
      <c r="AB486" s="146"/>
      <c r="AC486" s="128"/>
      <c r="AD486" s="146"/>
      <c r="AE486" s="128"/>
      <c r="AF486" s="146"/>
      <c r="AG486" s="128"/>
      <c r="AH486" s="146"/>
      <c r="AI486" s="128"/>
      <c r="AJ486" s="146"/>
      <c r="AK486" s="128"/>
      <c r="AL486" s="146"/>
      <c r="AM486" s="128"/>
      <c r="AN486" s="146"/>
    </row>
    <row r="487" spans="1:40" s="121" customFormat="1" ht="15" customHeight="1">
      <c r="A487" s="141" t="s">
        <v>400</v>
      </c>
      <c r="B487" s="141" t="s">
        <v>315</v>
      </c>
      <c r="C487" s="142">
        <v>218061</v>
      </c>
      <c r="D487" s="143">
        <v>5</v>
      </c>
      <c r="E487" s="128">
        <v>5082</v>
      </c>
      <c r="F487" s="146">
        <v>5540</v>
      </c>
      <c r="G487" s="128">
        <v>10029</v>
      </c>
      <c r="H487" s="146">
        <v>10945</v>
      </c>
      <c r="I487" s="128">
        <v>5282</v>
      </c>
      <c r="J487" s="146">
        <v>5740</v>
      </c>
      <c r="K487" s="128">
        <v>10429</v>
      </c>
      <c r="L487" s="146">
        <v>11345</v>
      </c>
      <c r="M487" s="128"/>
      <c r="N487" s="146"/>
      <c r="O487" s="128"/>
      <c r="P487" s="146"/>
      <c r="Q487" s="128"/>
      <c r="R487" s="146"/>
      <c r="S487" s="128"/>
      <c r="T487" s="146"/>
      <c r="U487" s="128"/>
      <c r="V487" s="146"/>
      <c r="W487" s="128"/>
      <c r="X487" s="146"/>
      <c r="Y487" s="128"/>
      <c r="Z487" s="146"/>
      <c r="AA487" s="128"/>
      <c r="AB487" s="146"/>
      <c r="AC487" s="128"/>
      <c r="AD487" s="146"/>
      <c r="AE487" s="128"/>
      <c r="AF487" s="146"/>
      <c r="AG487" s="128"/>
      <c r="AH487" s="146"/>
      <c r="AI487" s="128"/>
      <c r="AJ487" s="146"/>
      <c r="AK487" s="128"/>
      <c r="AL487" s="146"/>
      <c r="AM487" s="128"/>
      <c r="AN487" s="146"/>
    </row>
    <row r="488" spans="1:40" s="121" customFormat="1" ht="15" customHeight="1">
      <c r="A488" s="141" t="s">
        <v>400</v>
      </c>
      <c r="B488" s="141" t="s">
        <v>316</v>
      </c>
      <c r="C488" s="142">
        <v>218229</v>
      </c>
      <c r="D488" s="143">
        <v>5</v>
      </c>
      <c r="E488" s="128">
        <v>5400</v>
      </c>
      <c r="F488" s="146">
        <v>5866</v>
      </c>
      <c r="G488" s="128">
        <v>11050</v>
      </c>
      <c r="H488" s="146">
        <v>12034</v>
      </c>
      <c r="I488" s="128">
        <v>5910</v>
      </c>
      <c r="J488" s="146">
        <v>6418</v>
      </c>
      <c r="K488" s="128">
        <v>12250</v>
      </c>
      <c r="L488" s="146">
        <v>13282</v>
      </c>
      <c r="M488" s="128"/>
      <c r="N488" s="146"/>
      <c r="O488" s="128"/>
      <c r="P488" s="146"/>
      <c r="Q488" s="128"/>
      <c r="R488" s="146"/>
      <c r="S488" s="128"/>
      <c r="T488" s="146"/>
      <c r="U488" s="128"/>
      <c r="V488" s="146"/>
      <c r="W488" s="128"/>
      <c r="X488" s="146"/>
      <c r="Y488" s="128"/>
      <c r="Z488" s="146"/>
      <c r="AA488" s="128"/>
      <c r="AB488" s="146"/>
      <c r="AC488" s="128"/>
      <c r="AD488" s="146"/>
      <c r="AE488" s="128"/>
      <c r="AF488" s="146"/>
      <c r="AG488" s="128"/>
      <c r="AH488" s="146"/>
      <c r="AI488" s="128"/>
      <c r="AJ488" s="146"/>
      <c r="AK488" s="128"/>
      <c r="AL488" s="146"/>
      <c r="AM488" s="128"/>
      <c r="AN488" s="146"/>
    </row>
    <row r="489" spans="1:40" s="121" customFormat="1" ht="15" customHeight="1">
      <c r="A489" s="141" t="s">
        <v>400</v>
      </c>
      <c r="B489" s="141" t="s">
        <v>317</v>
      </c>
      <c r="C489" s="142">
        <v>218733</v>
      </c>
      <c r="D489" s="143">
        <v>5</v>
      </c>
      <c r="E489" s="128">
        <v>5570</v>
      </c>
      <c r="F489" s="146">
        <v>6170</v>
      </c>
      <c r="G489" s="128">
        <v>10850</v>
      </c>
      <c r="H489" s="146">
        <v>12978</v>
      </c>
      <c r="I489" s="128">
        <v>5570</v>
      </c>
      <c r="J489" s="146">
        <v>6170</v>
      </c>
      <c r="K489" s="128">
        <v>10850</v>
      </c>
      <c r="L489" s="146">
        <v>12978</v>
      </c>
      <c r="M489" s="128"/>
      <c r="N489" s="146"/>
      <c r="O489" s="128"/>
      <c r="P489" s="146"/>
      <c r="Q489" s="128"/>
      <c r="R489" s="146"/>
      <c r="S489" s="128"/>
      <c r="T489" s="146"/>
      <c r="U489" s="128"/>
      <c r="V489" s="146"/>
      <c r="W489" s="128"/>
      <c r="X489" s="146"/>
      <c r="Y489" s="128"/>
      <c r="Z489" s="146"/>
      <c r="AA489" s="128"/>
      <c r="AB489" s="146"/>
      <c r="AC489" s="128"/>
      <c r="AD489" s="146"/>
      <c r="AE489" s="128"/>
      <c r="AF489" s="146"/>
      <c r="AG489" s="128"/>
      <c r="AH489" s="146"/>
      <c r="AI489" s="128"/>
      <c r="AJ489" s="146"/>
      <c r="AK489" s="128"/>
      <c r="AL489" s="146"/>
      <c r="AM489" s="128"/>
      <c r="AN489" s="146"/>
    </row>
    <row r="490" spans="1:40" s="121" customFormat="1" ht="15" customHeight="1">
      <c r="A490" s="141" t="s">
        <v>400</v>
      </c>
      <c r="B490" s="141" t="s">
        <v>318</v>
      </c>
      <c r="C490" s="142">
        <v>218724</v>
      </c>
      <c r="D490" s="143">
        <v>6</v>
      </c>
      <c r="E490" s="128">
        <v>5190</v>
      </c>
      <c r="F490" s="146">
        <v>6100</v>
      </c>
      <c r="G490" s="128">
        <v>12870</v>
      </c>
      <c r="H490" s="146">
        <v>14150</v>
      </c>
      <c r="I490" s="128">
        <v>3960</v>
      </c>
      <c r="J490" s="146">
        <v>4590</v>
      </c>
      <c r="K490" s="128">
        <v>9810</v>
      </c>
      <c r="L490" s="146">
        <v>10800</v>
      </c>
      <c r="M490" s="128"/>
      <c r="N490" s="146"/>
      <c r="O490" s="128"/>
      <c r="P490" s="146"/>
      <c r="Q490" s="128"/>
      <c r="R490" s="146"/>
      <c r="S490" s="128"/>
      <c r="T490" s="146"/>
      <c r="U490" s="128"/>
      <c r="V490" s="146"/>
      <c r="W490" s="128"/>
      <c r="X490" s="146"/>
      <c r="Y490" s="128"/>
      <c r="Z490" s="146"/>
      <c r="AA490" s="128"/>
      <c r="AB490" s="146"/>
      <c r="AC490" s="128"/>
      <c r="AD490" s="146"/>
      <c r="AE490" s="128"/>
      <c r="AF490" s="146"/>
      <c r="AG490" s="128"/>
      <c r="AH490" s="146"/>
      <c r="AI490" s="128"/>
      <c r="AJ490" s="146"/>
      <c r="AK490" s="128"/>
      <c r="AL490" s="146"/>
      <c r="AM490" s="128"/>
      <c r="AN490" s="146"/>
    </row>
    <row r="491" spans="1:40" s="121" customFormat="1" ht="15" customHeight="1">
      <c r="A491" s="141" t="s">
        <v>400</v>
      </c>
      <c r="B491" s="141" t="s">
        <v>319</v>
      </c>
      <c r="C491" s="142">
        <v>218645</v>
      </c>
      <c r="D491" s="143">
        <v>6</v>
      </c>
      <c r="E491" s="128">
        <v>5084</v>
      </c>
      <c r="F491" s="146">
        <v>5622</v>
      </c>
      <c r="G491" s="128">
        <v>10224</v>
      </c>
      <c r="H491" s="146">
        <v>11264</v>
      </c>
      <c r="I491" s="128">
        <v>5778</v>
      </c>
      <c r="J491" s="146">
        <v>7150</v>
      </c>
      <c r="K491" s="128">
        <v>15116</v>
      </c>
      <c r="L491" s="146">
        <v>15180</v>
      </c>
      <c r="M491" s="128"/>
      <c r="N491" s="146"/>
      <c r="O491" s="128"/>
      <c r="P491" s="146"/>
      <c r="Q491" s="128"/>
      <c r="R491" s="146"/>
      <c r="S491" s="128"/>
      <c r="T491" s="146"/>
      <c r="U491" s="128"/>
      <c r="V491" s="146"/>
      <c r="W491" s="128"/>
      <c r="X491" s="146"/>
      <c r="Y491" s="128"/>
      <c r="Z491" s="146"/>
      <c r="AA491" s="128"/>
      <c r="AB491" s="146"/>
      <c r="AC491" s="128"/>
      <c r="AD491" s="146"/>
      <c r="AE491" s="128"/>
      <c r="AF491" s="146"/>
      <c r="AG491" s="128"/>
      <c r="AH491" s="146"/>
      <c r="AI491" s="128"/>
      <c r="AJ491" s="146"/>
      <c r="AK491" s="128"/>
      <c r="AL491" s="146"/>
      <c r="AM491" s="128"/>
      <c r="AN491" s="146"/>
    </row>
    <row r="492" spans="1:40" s="121" customFormat="1" ht="15" customHeight="1">
      <c r="A492" s="141" t="s">
        <v>400</v>
      </c>
      <c r="B492" s="141" t="s">
        <v>588</v>
      </c>
      <c r="C492" s="142">
        <v>218742</v>
      </c>
      <c r="D492" s="143">
        <v>6</v>
      </c>
      <c r="E492" s="128">
        <v>5460</v>
      </c>
      <c r="F492" s="146">
        <v>6060</v>
      </c>
      <c r="G492" s="128">
        <v>11086</v>
      </c>
      <c r="H492" s="146">
        <v>12304</v>
      </c>
      <c r="I492" s="128">
        <v>5778</v>
      </c>
      <c r="J492" s="146">
        <v>7150</v>
      </c>
      <c r="K492" s="128">
        <v>15116</v>
      </c>
      <c r="L492" s="146">
        <v>15180</v>
      </c>
      <c r="M492" s="128"/>
      <c r="N492" s="146"/>
      <c r="O492" s="128"/>
      <c r="P492" s="146"/>
      <c r="Q492" s="128"/>
      <c r="R492" s="146"/>
      <c r="S492" s="128"/>
      <c r="T492" s="146"/>
      <c r="U492" s="128"/>
      <c r="V492" s="146"/>
      <c r="W492" s="128"/>
      <c r="X492" s="146"/>
      <c r="Y492" s="128"/>
      <c r="Z492" s="146"/>
      <c r="AA492" s="128"/>
      <c r="AB492" s="146"/>
      <c r="AC492" s="128"/>
      <c r="AD492" s="146"/>
      <c r="AE492" s="128"/>
      <c r="AF492" s="146"/>
      <c r="AG492" s="128"/>
      <c r="AH492" s="146"/>
      <c r="AI492" s="128"/>
      <c r="AJ492" s="146"/>
      <c r="AK492" s="128"/>
      <c r="AL492" s="146"/>
      <c r="AM492" s="128"/>
      <c r="AN492" s="146"/>
    </row>
    <row r="493" spans="1:40" s="121" customFormat="1" ht="15" customHeight="1">
      <c r="A493" s="141" t="s">
        <v>400</v>
      </c>
      <c r="B493" s="141" t="s">
        <v>320</v>
      </c>
      <c r="C493" s="142">
        <v>218113</v>
      </c>
      <c r="D493" s="143">
        <v>8</v>
      </c>
      <c r="E493" s="128">
        <v>2600</v>
      </c>
      <c r="F493" s="146">
        <v>2900</v>
      </c>
      <c r="G493" s="128">
        <v>5550</v>
      </c>
      <c r="H493" s="146">
        <v>5900</v>
      </c>
      <c r="I493" s="128"/>
      <c r="J493" s="146"/>
      <c r="K493" s="128"/>
      <c r="L493" s="146"/>
      <c r="M493" s="128"/>
      <c r="N493" s="146"/>
      <c r="O493" s="128"/>
      <c r="P493" s="146"/>
      <c r="Q493" s="128"/>
      <c r="R493" s="146"/>
      <c r="S493" s="128"/>
      <c r="T493" s="146"/>
      <c r="U493" s="128"/>
      <c r="V493" s="146"/>
      <c r="W493" s="128"/>
      <c r="X493" s="146"/>
      <c r="Y493" s="128"/>
      <c r="Z493" s="146"/>
      <c r="AA493" s="128"/>
      <c r="AB493" s="146"/>
      <c r="AC493" s="128"/>
      <c r="AD493" s="146"/>
      <c r="AE493" s="128"/>
      <c r="AF493" s="146"/>
      <c r="AG493" s="128"/>
      <c r="AH493" s="146"/>
      <c r="AI493" s="128"/>
      <c r="AJ493" s="146"/>
      <c r="AK493" s="128"/>
      <c r="AL493" s="146"/>
      <c r="AM493" s="128"/>
      <c r="AN493" s="146"/>
    </row>
    <row r="494" spans="1:40" s="121" customFormat="1" ht="15" customHeight="1">
      <c r="A494" s="141" t="s">
        <v>400</v>
      </c>
      <c r="B494" s="141" t="s">
        <v>321</v>
      </c>
      <c r="C494" s="142">
        <v>218353</v>
      </c>
      <c r="D494" s="143">
        <v>8</v>
      </c>
      <c r="E494" s="128">
        <v>2836</v>
      </c>
      <c r="F494" s="146">
        <v>2908</v>
      </c>
      <c r="G494" s="128">
        <v>8308</v>
      </c>
      <c r="H494" s="146">
        <v>8524</v>
      </c>
      <c r="I494" s="128"/>
      <c r="J494" s="146"/>
      <c r="K494" s="128"/>
      <c r="L494" s="146"/>
      <c r="M494" s="128"/>
      <c r="N494" s="146"/>
      <c r="O494" s="128"/>
      <c r="P494" s="146"/>
      <c r="Q494" s="128"/>
      <c r="R494" s="146"/>
      <c r="S494" s="128"/>
      <c r="T494" s="146"/>
      <c r="U494" s="128"/>
      <c r="V494" s="146"/>
      <c r="W494" s="128"/>
      <c r="X494" s="146"/>
      <c r="Y494" s="128"/>
      <c r="Z494" s="146"/>
      <c r="AA494" s="128"/>
      <c r="AB494" s="146"/>
      <c r="AC494" s="128"/>
      <c r="AD494" s="146"/>
      <c r="AE494" s="128"/>
      <c r="AF494" s="146"/>
      <c r="AG494" s="128"/>
      <c r="AH494" s="146"/>
      <c r="AI494" s="128"/>
      <c r="AJ494" s="146"/>
      <c r="AK494" s="128"/>
      <c r="AL494" s="146"/>
      <c r="AM494" s="128"/>
      <c r="AN494" s="146"/>
    </row>
    <row r="495" spans="1:40" s="121" customFormat="1" ht="15" customHeight="1">
      <c r="A495" s="141" t="s">
        <v>400</v>
      </c>
      <c r="B495" s="141" t="s">
        <v>322</v>
      </c>
      <c r="C495" s="142">
        <v>218894</v>
      </c>
      <c r="D495" s="143">
        <v>8</v>
      </c>
      <c r="E495" s="128">
        <v>2446</v>
      </c>
      <c r="F495" s="146">
        <v>2688</v>
      </c>
      <c r="G495" s="128">
        <v>4976</v>
      </c>
      <c r="H495" s="146">
        <v>5274</v>
      </c>
      <c r="I495" s="128"/>
      <c r="J495" s="146"/>
      <c r="K495" s="128"/>
      <c r="L495" s="146"/>
      <c r="M495" s="128"/>
      <c r="N495" s="146"/>
      <c r="O495" s="128"/>
      <c r="P495" s="146"/>
      <c r="Q495" s="128"/>
      <c r="R495" s="146"/>
      <c r="S495" s="128"/>
      <c r="T495" s="146"/>
      <c r="U495" s="128"/>
      <c r="V495" s="146"/>
      <c r="W495" s="128"/>
      <c r="X495" s="146"/>
      <c r="Y495" s="128"/>
      <c r="Z495" s="146"/>
      <c r="AA495" s="128"/>
      <c r="AB495" s="146"/>
      <c r="AC495" s="128"/>
      <c r="AD495" s="146"/>
      <c r="AE495" s="128"/>
      <c r="AF495" s="146"/>
      <c r="AG495" s="128"/>
      <c r="AH495" s="146"/>
      <c r="AI495" s="128"/>
      <c r="AJ495" s="146"/>
      <c r="AK495" s="128"/>
      <c r="AL495" s="146"/>
      <c r="AM495" s="128"/>
      <c r="AN495" s="146"/>
    </row>
    <row r="496" spans="1:40" s="121" customFormat="1" ht="15" customHeight="1">
      <c r="A496" s="141" t="s">
        <v>400</v>
      </c>
      <c r="B496" s="141" t="s">
        <v>323</v>
      </c>
      <c r="C496" s="142">
        <v>218858</v>
      </c>
      <c r="D496" s="143">
        <v>9</v>
      </c>
      <c r="E496" s="128">
        <v>2350</v>
      </c>
      <c r="F496" s="146">
        <v>2500</v>
      </c>
      <c r="G496" s="128">
        <v>5188</v>
      </c>
      <c r="H496" s="146">
        <v>5118</v>
      </c>
      <c r="I496" s="128"/>
      <c r="J496" s="146"/>
      <c r="K496" s="128"/>
      <c r="L496" s="146"/>
      <c r="M496" s="128"/>
      <c r="N496" s="146"/>
      <c r="O496" s="128"/>
      <c r="P496" s="146"/>
      <c r="Q496" s="128"/>
      <c r="R496" s="146"/>
      <c r="S496" s="128"/>
      <c r="T496" s="146"/>
      <c r="U496" s="128"/>
      <c r="V496" s="146"/>
      <c r="W496" s="128"/>
      <c r="X496" s="146"/>
      <c r="Y496" s="128"/>
      <c r="Z496" s="146"/>
      <c r="AA496" s="128"/>
      <c r="AB496" s="146"/>
      <c r="AC496" s="128"/>
      <c r="AD496" s="146"/>
      <c r="AE496" s="128"/>
      <c r="AF496" s="146"/>
      <c r="AG496" s="128"/>
      <c r="AH496" s="146"/>
      <c r="AI496" s="128"/>
      <c r="AJ496" s="146"/>
      <c r="AK496" s="128"/>
      <c r="AL496" s="146"/>
      <c r="AM496" s="128"/>
      <c r="AN496" s="146"/>
    </row>
    <row r="497" spans="1:40" s="121" customFormat="1" ht="15" customHeight="1">
      <c r="A497" s="141" t="s">
        <v>400</v>
      </c>
      <c r="B497" s="141" t="s">
        <v>324</v>
      </c>
      <c r="C497" s="142">
        <v>218025</v>
      </c>
      <c r="D497" s="143">
        <v>9</v>
      </c>
      <c r="E497" s="128">
        <v>2370</v>
      </c>
      <c r="F497" s="146">
        <v>2986</v>
      </c>
      <c r="G497" s="128">
        <v>4466</v>
      </c>
      <c r="H497" s="146">
        <v>5082</v>
      </c>
      <c r="I497" s="128"/>
      <c r="J497" s="146"/>
      <c r="K497" s="128"/>
      <c r="L497" s="146"/>
      <c r="M497" s="128"/>
      <c r="N497" s="146"/>
      <c r="O497" s="128"/>
      <c r="P497" s="146"/>
      <c r="Q497" s="128"/>
      <c r="R497" s="146"/>
      <c r="S497" s="128"/>
      <c r="T497" s="146"/>
      <c r="U497" s="128"/>
      <c r="V497" s="146"/>
      <c r="W497" s="128"/>
      <c r="X497" s="146"/>
      <c r="Y497" s="128"/>
      <c r="Z497" s="146"/>
      <c r="AA497" s="128"/>
      <c r="AB497" s="146"/>
      <c r="AC497" s="128"/>
      <c r="AD497" s="146"/>
      <c r="AE497" s="128"/>
      <c r="AF497" s="146"/>
      <c r="AG497" s="128"/>
      <c r="AH497" s="146"/>
      <c r="AI497" s="128"/>
      <c r="AJ497" s="146"/>
      <c r="AK497" s="128"/>
      <c r="AL497" s="146"/>
      <c r="AM497" s="128"/>
      <c r="AN497" s="146"/>
    </row>
    <row r="498" spans="1:40" s="121" customFormat="1" ht="15" customHeight="1">
      <c r="A498" s="141" t="s">
        <v>400</v>
      </c>
      <c r="B498" s="141" t="s">
        <v>325</v>
      </c>
      <c r="C498" s="142">
        <v>218140</v>
      </c>
      <c r="D498" s="143">
        <v>9</v>
      </c>
      <c r="E498" s="128">
        <v>2394</v>
      </c>
      <c r="F498" s="146">
        <v>2680</v>
      </c>
      <c r="G498" s="128">
        <v>4248</v>
      </c>
      <c r="H498" s="146">
        <v>4288</v>
      </c>
      <c r="I498" s="128"/>
      <c r="J498" s="146"/>
      <c r="K498" s="128"/>
      <c r="L498" s="146"/>
      <c r="M498" s="128"/>
      <c r="N498" s="146"/>
      <c r="O498" s="128"/>
      <c r="P498" s="146"/>
      <c r="Q498" s="128"/>
      <c r="R498" s="146"/>
      <c r="S498" s="128"/>
      <c r="T498" s="146"/>
      <c r="U498" s="128"/>
      <c r="V498" s="146"/>
      <c r="W498" s="128"/>
      <c r="X498" s="146"/>
      <c r="Y498" s="128"/>
      <c r="Z498" s="146"/>
      <c r="AA498" s="128"/>
      <c r="AB498" s="146"/>
      <c r="AC498" s="128"/>
      <c r="AD498" s="146"/>
      <c r="AE498" s="128"/>
      <c r="AF498" s="146"/>
      <c r="AG498" s="128"/>
      <c r="AH498" s="146"/>
      <c r="AI498" s="128"/>
      <c r="AJ498" s="146"/>
      <c r="AK498" s="128"/>
      <c r="AL498" s="146"/>
      <c r="AM498" s="128"/>
      <c r="AN498" s="146"/>
    </row>
    <row r="499" spans="1:40" s="121" customFormat="1" ht="15" customHeight="1">
      <c r="A499" s="141" t="s">
        <v>400</v>
      </c>
      <c r="B499" s="141" t="s">
        <v>380</v>
      </c>
      <c r="C499" s="142">
        <v>218487</v>
      </c>
      <c r="D499" s="143">
        <v>9</v>
      </c>
      <c r="E499" s="128">
        <v>2496</v>
      </c>
      <c r="F499" s="146">
        <v>2640</v>
      </c>
      <c r="G499" s="128">
        <v>4464</v>
      </c>
      <c r="H499" s="146">
        <v>4464</v>
      </c>
      <c r="I499" s="128"/>
      <c r="J499" s="146"/>
      <c r="K499" s="128"/>
      <c r="L499" s="146"/>
      <c r="M499" s="128"/>
      <c r="N499" s="146"/>
      <c r="O499" s="128"/>
      <c r="P499" s="146"/>
      <c r="Q499" s="128"/>
      <c r="R499" s="146"/>
      <c r="S499" s="128"/>
      <c r="T499" s="146"/>
      <c r="U499" s="128"/>
      <c r="V499" s="146"/>
      <c r="W499" s="128"/>
      <c r="X499" s="146"/>
      <c r="Y499" s="128"/>
      <c r="Z499" s="146"/>
      <c r="AA499" s="128"/>
      <c r="AB499" s="146"/>
      <c r="AC499" s="128"/>
      <c r="AD499" s="146"/>
      <c r="AE499" s="128"/>
      <c r="AF499" s="146"/>
      <c r="AG499" s="128"/>
      <c r="AH499" s="146"/>
      <c r="AI499" s="128"/>
      <c r="AJ499" s="146"/>
      <c r="AK499" s="128"/>
      <c r="AL499" s="146"/>
      <c r="AM499" s="128"/>
      <c r="AN499" s="146"/>
    </row>
    <row r="500" spans="1:40" s="121" customFormat="1" ht="15" customHeight="1">
      <c r="A500" s="141" t="s">
        <v>400</v>
      </c>
      <c r="B500" s="141" t="s">
        <v>326</v>
      </c>
      <c r="C500" s="142">
        <v>218520</v>
      </c>
      <c r="D500" s="143">
        <v>9</v>
      </c>
      <c r="E500" s="128">
        <v>2646</v>
      </c>
      <c r="F500" s="146">
        <v>2740</v>
      </c>
      <c r="G500" s="128">
        <v>4302</v>
      </c>
      <c r="H500" s="146">
        <v>4372</v>
      </c>
      <c r="I500" s="128"/>
      <c r="J500" s="146"/>
      <c r="K500" s="128"/>
      <c r="L500" s="146"/>
      <c r="M500" s="128"/>
      <c r="N500" s="146"/>
      <c r="O500" s="128"/>
      <c r="P500" s="146"/>
      <c r="Q500" s="128"/>
      <c r="R500" s="146"/>
      <c r="S500" s="128"/>
      <c r="T500" s="146"/>
      <c r="U500" s="128"/>
      <c r="V500" s="146"/>
      <c r="W500" s="128"/>
      <c r="X500" s="146"/>
      <c r="Y500" s="128"/>
      <c r="Z500" s="146"/>
      <c r="AA500" s="128"/>
      <c r="AB500" s="146"/>
      <c r="AC500" s="128"/>
      <c r="AD500" s="146"/>
      <c r="AE500" s="128"/>
      <c r="AF500" s="146"/>
      <c r="AG500" s="128"/>
      <c r="AH500" s="146"/>
      <c r="AI500" s="128"/>
      <c r="AJ500" s="146"/>
      <c r="AK500" s="128"/>
      <c r="AL500" s="146"/>
      <c r="AM500" s="128"/>
      <c r="AN500" s="146"/>
    </row>
    <row r="501" spans="1:40" s="121" customFormat="1" ht="15" customHeight="1">
      <c r="A501" s="141" t="s">
        <v>400</v>
      </c>
      <c r="B501" s="141" t="s">
        <v>327</v>
      </c>
      <c r="C501" s="142">
        <v>218830</v>
      </c>
      <c r="D501" s="143">
        <v>9</v>
      </c>
      <c r="E501" s="128">
        <v>2660</v>
      </c>
      <c r="F501" s="146">
        <v>2806</v>
      </c>
      <c r="G501" s="128">
        <v>5060</v>
      </c>
      <c r="H501" s="146">
        <v>5370</v>
      </c>
      <c r="I501" s="128"/>
      <c r="J501" s="146"/>
      <c r="K501" s="128"/>
      <c r="L501" s="146"/>
      <c r="M501" s="128"/>
      <c r="N501" s="146"/>
      <c r="O501" s="128"/>
      <c r="P501" s="146"/>
      <c r="Q501" s="128"/>
      <c r="R501" s="146"/>
      <c r="S501" s="128"/>
      <c r="T501" s="146"/>
      <c r="U501" s="128"/>
      <c r="V501" s="146"/>
      <c r="W501" s="128"/>
      <c r="X501" s="146"/>
      <c r="Y501" s="128"/>
      <c r="Z501" s="146"/>
      <c r="AA501" s="128"/>
      <c r="AB501" s="146"/>
      <c r="AC501" s="128"/>
      <c r="AD501" s="146"/>
      <c r="AE501" s="128"/>
      <c r="AF501" s="146"/>
      <c r="AG501" s="128"/>
      <c r="AH501" s="146"/>
      <c r="AI501" s="128"/>
      <c r="AJ501" s="146"/>
      <c r="AK501" s="128"/>
      <c r="AL501" s="146"/>
      <c r="AM501" s="128"/>
      <c r="AN501" s="146"/>
    </row>
    <row r="502" spans="1:40" s="121" customFormat="1" ht="15" customHeight="1">
      <c r="A502" s="141" t="s">
        <v>400</v>
      </c>
      <c r="B502" s="141" t="s">
        <v>328</v>
      </c>
      <c r="C502" s="142">
        <v>218885</v>
      </c>
      <c r="D502" s="143">
        <v>9</v>
      </c>
      <c r="E502" s="128">
        <v>2450</v>
      </c>
      <c r="F502" s="146">
        <v>2546</v>
      </c>
      <c r="G502" s="128">
        <v>5820</v>
      </c>
      <c r="H502" s="146">
        <v>5916</v>
      </c>
      <c r="I502" s="128"/>
      <c r="J502" s="146"/>
      <c r="K502" s="128"/>
      <c r="L502" s="146"/>
      <c r="M502" s="128"/>
      <c r="N502" s="146"/>
      <c r="O502" s="128"/>
      <c r="P502" s="146"/>
      <c r="Q502" s="128"/>
      <c r="R502" s="146"/>
      <c r="S502" s="128"/>
      <c r="T502" s="146"/>
      <c r="U502" s="128"/>
      <c r="V502" s="146"/>
      <c r="W502" s="128"/>
      <c r="X502" s="146"/>
      <c r="Y502" s="128"/>
      <c r="Z502" s="146"/>
      <c r="AA502" s="128"/>
      <c r="AB502" s="146"/>
      <c r="AC502" s="128"/>
      <c r="AD502" s="146"/>
      <c r="AE502" s="128"/>
      <c r="AF502" s="146"/>
      <c r="AG502" s="128"/>
      <c r="AH502" s="146"/>
      <c r="AI502" s="128"/>
      <c r="AJ502" s="146"/>
      <c r="AK502" s="128"/>
      <c r="AL502" s="146"/>
      <c r="AM502" s="128"/>
      <c r="AN502" s="146"/>
    </row>
    <row r="503" spans="1:40" s="121" customFormat="1" ht="15" customHeight="1">
      <c r="A503" s="141" t="s">
        <v>400</v>
      </c>
      <c r="B503" s="141" t="s">
        <v>329</v>
      </c>
      <c r="C503" s="142">
        <v>218991</v>
      </c>
      <c r="D503" s="143">
        <v>9</v>
      </c>
      <c r="E503" s="128">
        <v>2736</v>
      </c>
      <c r="F503" s="146">
        <v>2886</v>
      </c>
      <c r="G503" s="128">
        <v>6016</v>
      </c>
      <c r="H503" s="146">
        <v>6336</v>
      </c>
      <c r="I503" s="128"/>
      <c r="J503" s="146"/>
      <c r="K503" s="128"/>
      <c r="L503" s="146"/>
      <c r="M503" s="128"/>
      <c r="N503" s="146"/>
      <c r="O503" s="128"/>
      <c r="P503" s="146"/>
      <c r="Q503" s="128"/>
      <c r="R503" s="146"/>
      <c r="S503" s="128"/>
      <c r="T503" s="146"/>
      <c r="U503" s="128"/>
      <c r="V503" s="146"/>
      <c r="W503" s="128"/>
      <c r="X503" s="146"/>
      <c r="Y503" s="128"/>
      <c r="Z503" s="146"/>
      <c r="AA503" s="128"/>
      <c r="AB503" s="146"/>
      <c r="AC503" s="128"/>
      <c r="AD503" s="146"/>
      <c r="AE503" s="128"/>
      <c r="AF503" s="146"/>
      <c r="AG503" s="128"/>
      <c r="AH503" s="146"/>
      <c r="AI503" s="128"/>
      <c r="AJ503" s="146"/>
      <c r="AK503" s="128"/>
      <c r="AL503" s="146"/>
      <c r="AM503" s="128"/>
      <c r="AN503" s="146"/>
    </row>
    <row r="504" spans="1:40" s="121" customFormat="1" ht="15" customHeight="1">
      <c r="A504" s="141" t="s">
        <v>400</v>
      </c>
      <c r="B504" s="141" t="s">
        <v>330</v>
      </c>
      <c r="C504" s="142">
        <v>217615</v>
      </c>
      <c r="D504" s="143">
        <v>10</v>
      </c>
      <c r="E504" s="128">
        <v>2600</v>
      </c>
      <c r="F504" s="146">
        <v>2836</v>
      </c>
      <c r="G504" s="128">
        <v>7300</v>
      </c>
      <c r="H504" s="146">
        <v>7942</v>
      </c>
      <c r="I504" s="128"/>
      <c r="J504" s="146"/>
      <c r="K504" s="128"/>
      <c r="L504" s="146"/>
      <c r="M504" s="128"/>
      <c r="N504" s="146"/>
      <c r="O504" s="128"/>
      <c r="P504" s="146"/>
      <c r="Q504" s="128"/>
      <c r="R504" s="146"/>
      <c r="S504" s="128"/>
      <c r="T504" s="146"/>
      <c r="U504" s="128"/>
      <c r="V504" s="146"/>
      <c r="W504" s="128"/>
      <c r="X504" s="146"/>
      <c r="Y504" s="128"/>
      <c r="Z504" s="146"/>
      <c r="AA504" s="128"/>
      <c r="AB504" s="146"/>
      <c r="AC504" s="128"/>
      <c r="AD504" s="146"/>
      <c r="AE504" s="128"/>
      <c r="AF504" s="146"/>
      <c r="AG504" s="128"/>
      <c r="AH504" s="146"/>
      <c r="AI504" s="128"/>
      <c r="AJ504" s="146"/>
      <c r="AK504" s="128"/>
      <c r="AL504" s="146"/>
      <c r="AM504" s="128"/>
      <c r="AN504" s="146"/>
    </row>
    <row r="505" spans="1:40" s="121" customFormat="1" ht="15" customHeight="1">
      <c r="A505" s="141" t="s">
        <v>400</v>
      </c>
      <c r="B505" s="141" t="s">
        <v>331</v>
      </c>
      <c r="C505" s="142">
        <v>217989</v>
      </c>
      <c r="D505" s="143">
        <v>10</v>
      </c>
      <c r="E505" s="128">
        <v>2348</v>
      </c>
      <c r="F505" s="146">
        <v>2278</v>
      </c>
      <c r="G505" s="128">
        <v>4136</v>
      </c>
      <c r="H505" s="146">
        <v>4466</v>
      </c>
      <c r="I505" s="128"/>
      <c r="J505" s="146"/>
      <c r="K505" s="128"/>
      <c r="L505" s="146"/>
      <c r="M505" s="128"/>
      <c r="N505" s="146"/>
      <c r="O505" s="128"/>
      <c r="P505" s="146"/>
      <c r="Q505" s="128"/>
      <c r="R505" s="146"/>
      <c r="S505" s="128"/>
      <c r="T505" s="146"/>
      <c r="U505" s="128"/>
      <c r="V505" s="146"/>
      <c r="W505" s="128"/>
      <c r="X505" s="146"/>
      <c r="Y505" s="128"/>
      <c r="Z505" s="146"/>
      <c r="AA505" s="128"/>
      <c r="AB505" s="146"/>
      <c r="AC505" s="128"/>
      <c r="AD505" s="146"/>
      <c r="AE505" s="128"/>
      <c r="AF505" s="146"/>
      <c r="AG505" s="128"/>
      <c r="AH505" s="146"/>
      <c r="AI505" s="128"/>
      <c r="AJ505" s="146"/>
      <c r="AK505" s="128"/>
      <c r="AL505" s="146"/>
      <c r="AM505" s="128"/>
      <c r="AN505" s="146"/>
    </row>
    <row r="506" spans="1:40" s="121" customFormat="1" ht="15" customHeight="1">
      <c r="A506" s="141" t="s">
        <v>400</v>
      </c>
      <c r="B506" s="141" t="s">
        <v>379</v>
      </c>
      <c r="C506" s="142">
        <v>217837</v>
      </c>
      <c r="D506" s="143">
        <v>10</v>
      </c>
      <c r="E506" s="128">
        <v>2346</v>
      </c>
      <c r="F506" s="146">
        <v>2346</v>
      </c>
      <c r="G506" s="128">
        <v>3936</v>
      </c>
      <c r="H506" s="146">
        <v>3936</v>
      </c>
      <c r="I506" s="128"/>
      <c r="J506" s="146"/>
      <c r="K506" s="128"/>
      <c r="L506" s="146"/>
      <c r="M506" s="128"/>
      <c r="N506" s="146"/>
      <c r="O506" s="128"/>
      <c r="P506" s="146"/>
      <c r="Q506" s="128"/>
      <c r="R506" s="146"/>
      <c r="S506" s="128"/>
      <c r="T506" s="146"/>
      <c r="U506" s="128"/>
      <c r="V506" s="146"/>
      <c r="W506" s="128"/>
      <c r="X506" s="146"/>
      <c r="Y506" s="128"/>
      <c r="Z506" s="146"/>
      <c r="AA506" s="128"/>
      <c r="AB506" s="146"/>
      <c r="AC506" s="128"/>
      <c r="AD506" s="146"/>
      <c r="AE506" s="128"/>
      <c r="AF506" s="146"/>
      <c r="AG506" s="128"/>
      <c r="AH506" s="146"/>
      <c r="AI506" s="128"/>
      <c r="AJ506" s="146"/>
      <c r="AK506" s="128"/>
      <c r="AL506" s="146"/>
      <c r="AM506" s="128"/>
      <c r="AN506" s="146"/>
    </row>
    <row r="507" spans="1:40" s="121" customFormat="1" ht="15" customHeight="1">
      <c r="A507" s="141" t="s">
        <v>400</v>
      </c>
      <c r="B507" s="141" t="s">
        <v>381</v>
      </c>
      <c r="C507" s="142">
        <v>217712</v>
      </c>
      <c r="D507" s="143">
        <v>10</v>
      </c>
      <c r="E507" s="128">
        <v>2600</v>
      </c>
      <c r="F507" s="146">
        <v>2900</v>
      </c>
      <c r="G507" s="128">
        <v>3860</v>
      </c>
      <c r="H507" s="146">
        <v>3860</v>
      </c>
      <c r="I507" s="128"/>
      <c r="J507" s="146"/>
      <c r="K507" s="128"/>
      <c r="L507" s="146"/>
      <c r="M507" s="128"/>
      <c r="N507" s="146"/>
      <c r="O507" s="128"/>
      <c r="P507" s="146"/>
      <c r="Q507" s="128"/>
      <c r="R507" s="146"/>
      <c r="S507" s="128"/>
      <c r="T507" s="146"/>
      <c r="U507" s="128"/>
      <c r="V507" s="146"/>
      <c r="W507" s="128"/>
      <c r="X507" s="146"/>
      <c r="Y507" s="128"/>
      <c r="Z507" s="146"/>
      <c r="AA507" s="128"/>
      <c r="AB507" s="146"/>
      <c r="AC507" s="128"/>
      <c r="AD507" s="146"/>
      <c r="AE507" s="128"/>
      <c r="AF507" s="146"/>
      <c r="AG507" s="128"/>
      <c r="AH507" s="146"/>
      <c r="AI507" s="128"/>
      <c r="AJ507" s="146"/>
      <c r="AK507" s="128"/>
      <c r="AL507" s="146"/>
      <c r="AM507" s="128"/>
      <c r="AN507" s="146"/>
    </row>
    <row r="508" spans="1:40" s="121" customFormat="1" ht="15" customHeight="1">
      <c r="A508" s="141" t="s">
        <v>400</v>
      </c>
      <c r="B508" s="141" t="s">
        <v>382</v>
      </c>
      <c r="C508" s="142">
        <v>218654</v>
      </c>
      <c r="D508" s="143">
        <v>10</v>
      </c>
      <c r="E508" s="128">
        <v>4208</v>
      </c>
      <c r="F508" s="146">
        <v>4670</v>
      </c>
      <c r="G508" s="128">
        <v>10112</v>
      </c>
      <c r="H508" s="146">
        <v>11060</v>
      </c>
      <c r="I508" s="128"/>
      <c r="J508" s="146"/>
      <c r="K508" s="128"/>
      <c r="L508" s="146"/>
      <c r="M508" s="128"/>
      <c r="N508" s="146"/>
      <c r="O508" s="128"/>
      <c r="P508" s="146"/>
      <c r="Q508" s="128"/>
      <c r="R508" s="146"/>
      <c r="S508" s="128"/>
      <c r="T508" s="146"/>
      <c r="U508" s="128"/>
      <c r="V508" s="146"/>
      <c r="W508" s="128"/>
      <c r="X508" s="146"/>
      <c r="Y508" s="128"/>
      <c r="Z508" s="146"/>
      <c r="AA508" s="128"/>
      <c r="AB508" s="146"/>
      <c r="AC508" s="128"/>
      <c r="AD508" s="146"/>
      <c r="AE508" s="128"/>
      <c r="AF508" s="146"/>
      <c r="AG508" s="128"/>
      <c r="AH508" s="146"/>
      <c r="AI508" s="128"/>
      <c r="AJ508" s="146"/>
      <c r="AK508" s="128"/>
      <c r="AL508" s="146"/>
      <c r="AM508" s="128"/>
      <c r="AN508" s="146"/>
    </row>
    <row r="509" spans="1:40" s="121" customFormat="1" ht="15" customHeight="1">
      <c r="A509" s="141" t="s">
        <v>400</v>
      </c>
      <c r="B509" s="141" t="s">
        <v>383</v>
      </c>
      <c r="C509" s="142">
        <v>218672</v>
      </c>
      <c r="D509" s="143">
        <v>10</v>
      </c>
      <c r="E509" s="128">
        <v>3656</v>
      </c>
      <c r="F509" s="146">
        <v>4058</v>
      </c>
      <c r="G509" s="128">
        <v>8754</v>
      </c>
      <c r="H509" s="146">
        <v>9720</v>
      </c>
      <c r="I509" s="128"/>
      <c r="J509" s="146"/>
      <c r="K509" s="128"/>
      <c r="L509" s="146"/>
      <c r="M509" s="128"/>
      <c r="N509" s="146"/>
      <c r="O509" s="128"/>
      <c r="P509" s="146"/>
      <c r="Q509" s="128"/>
      <c r="R509" s="146"/>
      <c r="S509" s="128"/>
      <c r="T509" s="146"/>
      <c r="U509" s="128"/>
      <c r="V509" s="146"/>
      <c r="W509" s="128"/>
      <c r="X509" s="146"/>
      <c r="Y509" s="128"/>
      <c r="Z509" s="146"/>
      <c r="AA509" s="128"/>
      <c r="AB509" s="146"/>
      <c r="AC509" s="128"/>
      <c r="AD509" s="146"/>
      <c r="AE509" s="128"/>
      <c r="AF509" s="146"/>
      <c r="AG509" s="128"/>
      <c r="AH509" s="146"/>
      <c r="AI509" s="128"/>
      <c r="AJ509" s="146"/>
      <c r="AK509" s="128"/>
      <c r="AL509" s="146"/>
      <c r="AM509" s="128"/>
      <c r="AN509" s="146"/>
    </row>
    <row r="510" spans="1:40" s="121" customFormat="1" ht="15" customHeight="1">
      <c r="A510" s="141" t="s">
        <v>400</v>
      </c>
      <c r="B510" s="141" t="s">
        <v>384</v>
      </c>
      <c r="C510" s="142">
        <v>218681</v>
      </c>
      <c r="D510" s="143">
        <v>10</v>
      </c>
      <c r="E510" s="128">
        <v>3656</v>
      </c>
      <c r="F510" s="146">
        <v>4058</v>
      </c>
      <c r="G510" s="128">
        <v>8754</v>
      </c>
      <c r="H510" s="146">
        <v>9720</v>
      </c>
      <c r="I510" s="128"/>
      <c r="J510" s="146"/>
      <c r="K510" s="128"/>
      <c r="L510" s="146"/>
      <c r="M510" s="128"/>
      <c r="N510" s="146"/>
      <c r="O510" s="128"/>
      <c r="P510" s="146"/>
      <c r="Q510" s="128"/>
      <c r="R510" s="146"/>
      <c r="S510" s="128"/>
      <c r="T510" s="146"/>
      <c r="U510" s="128"/>
      <c r="V510" s="146"/>
      <c r="W510" s="128"/>
      <c r="X510" s="146"/>
      <c r="Y510" s="128"/>
      <c r="Z510" s="146"/>
      <c r="AA510" s="128"/>
      <c r="AB510" s="146"/>
      <c r="AC510" s="128"/>
      <c r="AD510" s="146"/>
      <c r="AE510" s="128"/>
      <c r="AF510" s="146"/>
      <c r="AG510" s="128"/>
      <c r="AH510" s="146"/>
      <c r="AI510" s="128"/>
      <c r="AJ510" s="146"/>
      <c r="AK510" s="128"/>
      <c r="AL510" s="146"/>
      <c r="AM510" s="128"/>
      <c r="AN510" s="146"/>
    </row>
    <row r="511" spans="1:40" s="121" customFormat="1" ht="15" customHeight="1">
      <c r="A511" s="141" t="s">
        <v>400</v>
      </c>
      <c r="B511" s="141" t="s">
        <v>385</v>
      </c>
      <c r="C511" s="142">
        <v>218690</v>
      </c>
      <c r="D511" s="143">
        <v>10</v>
      </c>
      <c r="E511" s="128">
        <v>3656</v>
      </c>
      <c r="F511" s="146">
        <v>4058</v>
      </c>
      <c r="G511" s="128">
        <v>8754</v>
      </c>
      <c r="H511" s="146">
        <v>9720</v>
      </c>
      <c r="I511" s="128"/>
      <c r="J511" s="146"/>
      <c r="K511" s="128"/>
      <c r="L511" s="146"/>
      <c r="M511" s="128"/>
      <c r="N511" s="146"/>
      <c r="O511" s="128"/>
      <c r="P511" s="146"/>
      <c r="Q511" s="128"/>
      <c r="R511" s="146"/>
      <c r="S511" s="128"/>
      <c r="T511" s="146"/>
      <c r="U511" s="128"/>
      <c r="V511" s="146"/>
      <c r="W511" s="128"/>
      <c r="X511" s="146"/>
      <c r="Y511" s="128"/>
      <c r="Z511" s="146"/>
      <c r="AA511" s="128"/>
      <c r="AB511" s="146"/>
      <c r="AC511" s="128"/>
      <c r="AD511" s="146"/>
      <c r="AE511" s="128"/>
      <c r="AF511" s="146"/>
      <c r="AG511" s="128"/>
      <c r="AH511" s="146"/>
      <c r="AI511" s="128"/>
      <c r="AJ511" s="146"/>
      <c r="AK511" s="128"/>
      <c r="AL511" s="146"/>
      <c r="AM511" s="128"/>
      <c r="AN511" s="146"/>
    </row>
    <row r="512" spans="1:40" s="121" customFormat="1" ht="15" customHeight="1">
      <c r="A512" s="141" t="s">
        <v>400</v>
      </c>
      <c r="B512" s="141" t="s">
        <v>436</v>
      </c>
      <c r="C512" s="142">
        <v>218706</v>
      </c>
      <c r="D512" s="143">
        <v>10</v>
      </c>
      <c r="E512" s="128">
        <v>3656</v>
      </c>
      <c r="F512" s="146">
        <v>4058</v>
      </c>
      <c r="G512" s="128">
        <v>8754</v>
      </c>
      <c r="H512" s="146">
        <v>9720</v>
      </c>
      <c r="I512" s="128"/>
      <c r="J512" s="146"/>
      <c r="K512" s="128"/>
      <c r="L512" s="146"/>
      <c r="M512" s="128"/>
      <c r="N512" s="146"/>
      <c r="O512" s="128"/>
      <c r="P512" s="146"/>
      <c r="Q512" s="128"/>
      <c r="R512" s="146"/>
      <c r="S512" s="128"/>
      <c r="T512" s="146"/>
      <c r="U512" s="128"/>
      <c r="V512" s="146"/>
      <c r="W512" s="128"/>
      <c r="X512" s="146"/>
      <c r="Y512" s="128"/>
      <c r="Z512" s="146"/>
      <c r="AA512" s="128"/>
      <c r="AB512" s="146"/>
      <c r="AC512" s="128"/>
      <c r="AD512" s="146"/>
      <c r="AE512" s="128"/>
      <c r="AF512" s="146"/>
      <c r="AG512" s="128"/>
      <c r="AH512" s="146"/>
      <c r="AI512" s="128"/>
      <c r="AJ512" s="146"/>
      <c r="AK512" s="128"/>
      <c r="AL512" s="146"/>
      <c r="AM512" s="128"/>
      <c r="AN512" s="146"/>
    </row>
    <row r="513" spans="1:40" s="121" customFormat="1" ht="15" customHeight="1">
      <c r="A513" s="141" t="s">
        <v>400</v>
      </c>
      <c r="B513" s="141" t="s">
        <v>437</v>
      </c>
      <c r="C513" s="142">
        <v>218955</v>
      </c>
      <c r="D513" s="143">
        <v>10</v>
      </c>
      <c r="E513" s="128">
        <v>2112</v>
      </c>
      <c r="F513" s="146">
        <v>2670</v>
      </c>
      <c r="G513" s="128">
        <v>3912</v>
      </c>
      <c r="H513" s="146">
        <v>4968</v>
      </c>
      <c r="I513" s="128"/>
      <c r="J513" s="146"/>
      <c r="K513" s="128"/>
      <c r="L513" s="146"/>
      <c r="M513" s="128"/>
      <c r="N513" s="146"/>
      <c r="O513" s="128"/>
      <c r="P513" s="146"/>
      <c r="Q513" s="128"/>
      <c r="R513" s="146"/>
      <c r="S513" s="128"/>
      <c r="T513" s="146"/>
      <c r="U513" s="128"/>
      <c r="V513" s="146"/>
      <c r="W513" s="128"/>
      <c r="X513" s="146"/>
      <c r="Y513" s="128"/>
      <c r="Z513" s="146"/>
      <c r="AA513" s="128"/>
      <c r="AB513" s="146"/>
      <c r="AC513" s="128"/>
      <c r="AD513" s="146"/>
      <c r="AE513" s="128"/>
      <c r="AF513" s="146"/>
      <c r="AG513" s="128"/>
      <c r="AH513" s="146"/>
      <c r="AI513" s="128"/>
      <c r="AJ513" s="146"/>
      <c r="AK513" s="128"/>
      <c r="AL513" s="146"/>
      <c r="AM513" s="128"/>
      <c r="AN513" s="146"/>
    </row>
    <row r="514" spans="1:40" s="121" customFormat="1" ht="15" customHeight="1">
      <c r="A514" s="141" t="s">
        <v>400</v>
      </c>
      <c r="B514" s="141" t="s">
        <v>438</v>
      </c>
      <c r="C514" s="142">
        <v>218335</v>
      </c>
      <c r="D514" s="143">
        <v>15</v>
      </c>
      <c r="E514" s="128">
        <v>6988</v>
      </c>
      <c r="F514" s="146">
        <v>8368</v>
      </c>
      <c r="G514" s="128">
        <v>18028</v>
      </c>
      <c r="H514" s="146">
        <v>23144</v>
      </c>
      <c r="I514" s="128">
        <v>7136</v>
      </c>
      <c r="J514" s="146">
        <v>8592</v>
      </c>
      <c r="K514" s="128">
        <v>13764</v>
      </c>
      <c r="L514" s="146">
        <v>14450</v>
      </c>
      <c r="M514" s="128"/>
      <c r="N514" s="146"/>
      <c r="O514" s="128"/>
      <c r="P514" s="146"/>
      <c r="Q514" s="128">
        <v>14964</v>
      </c>
      <c r="R514" s="146">
        <v>18600</v>
      </c>
      <c r="S514" s="128">
        <v>42326</v>
      </c>
      <c r="T514" s="146">
        <v>52610</v>
      </c>
      <c r="U514" s="128">
        <v>8648</v>
      </c>
      <c r="V514" s="146">
        <v>11590</v>
      </c>
      <c r="W514" s="128">
        <v>24056</v>
      </c>
      <c r="X514" s="146">
        <v>32400</v>
      </c>
      <c r="Y514" s="128">
        <v>6726</v>
      </c>
      <c r="Z514" s="146">
        <v>8878</v>
      </c>
      <c r="AA514" s="128">
        <v>18220</v>
      </c>
      <c r="AB514" s="146">
        <v>22000</v>
      </c>
      <c r="AC514" s="128"/>
      <c r="AD514" s="146"/>
      <c r="AE514" s="128"/>
      <c r="AF514" s="146"/>
      <c r="AG514" s="128"/>
      <c r="AH514" s="146"/>
      <c r="AI514" s="128"/>
      <c r="AJ514" s="146"/>
      <c r="AK514" s="128"/>
      <c r="AL514" s="146"/>
      <c r="AM514" s="128"/>
      <c r="AN514" s="146"/>
    </row>
    <row r="515" spans="1:40" s="121" customFormat="1" ht="15" customHeight="1">
      <c r="A515" s="283" t="s">
        <v>1035</v>
      </c>
      <c r="B515" s="283" t="s">
        <v>439</v>
      </c>
      <c r="C515" s="284">
        <v>221759</v>
      </c>
      <c r="D515" s="284">
        <v>1</v>
      </c>
      <c r="E515" s="128">
        <v>4450</v>
      </c>
      <c r="F515" s="247">
        <v>4749</v>
      </c>
      <c r="G515" s="128">
        <v>13532</v>
      </c>
      <c r="H515" s="247">
        <v>14529</v>
      </c>
      <c r="I515" s="128">
        <v>5282</v>
      </c>
      <c r="J515" s="247">
        <v>5377</v>
      </c>
      <c r="K515" s="128">
        <v>14114</v>
      </c>
      <c r="L515" s="247">
        <v>15157</v>
      </c>
      <c r="M515" s="128">
        <v>8080</v>
      </c>
      <c r="N515" s="247">
        <v>8396</v>
      </c>
      <c r="O515" s="128">
        <v>19886</v>
      </c>
      <c r="P515" s="247">
        <v>21385</v>
      </c>
      <c r="Q515" s="128"/>
      <c r="R515" s="247"/>
      <c r="S515" s="128"/>
      <c r="T515" s="247"/>
      <c r="U515" s="128"/>
      <c r="V515" s="247"/>
      <c r="W515" s="128"/>
      <c r="X515" s="247"/>
      <c r="Y515" s="128"/>
      <c r="Z515" s="247"/>
      <c r="AA515" s="128"/>
      <c r="AB515" s="247"/>
      <c r="AC515" s="128"/>
      <c r="AD515" s="247"/>
      <c r="AE515" s="128"/>
      <c r="AF515" s="247"/>
      <c r="AG515" s="128"/>
      <c r="AH515" s="247"/>
      <c r="AI515" s="128"/>
      <c r="AJ515" s="247"/>
      <c r="AK515" s="128"/>
      <c r="AL515" s="247"/>
      <c r="AM515" s="128"/>
      <c r="AN515" s="146"/>
    </row>
    <row r="516" spans="1:40" s="121" customFormat="1" ht="15" customHeight="1">
      <c r="A516" s="283" t="s">
        <v>1035</v>
      </c>
      <c r="B516" s="283" t="s">
        <v>440</v>
      </c>
      <c r="C516" s="284">
        <v>220862</v>
      </c>
      <c r="D516" s="284">
        <v>2</v>
      </c>
      <c r="E516" s="128">
        <v>4234</v>
      </c>
      <c r="F516" s="247">
        <v>4480</v>
      </c>
      <c r="G516" s="128">
        <v>12388</v>
      </c>
      <c r="H516" s="247">
        <v>13204</v>
      </c>
      <c r="I516" s="128">
        <v>5124</v>
      </c>
      <c r="J516" s="247">
        <v>5432</v>
      </c>
      <c r="K516" s="128">
        <v>13278</v>
      </c>
      <c r="L516" s="247">
        <v>14156</v>
      </c>
      <c r="M516" s="128">
        <v>7792</v>
      </c>
      <c r="N516" s="247">
        <v>8286</v>
      </c>
      <c r="O516" s="128">
        <v>21586</v>
      </c>
      <c r="P516" s="247">
        <v>23046</v>
      </c>
      <c r="Q516" s="128"/>
      <c r="R516" s="247"/>
      <c r="S516" s="128"/>
      <c r="T516" s="247"/>
      <c r="U516" s="128"/>
      <c r="V516" s="247"/>
      <c r="W516" s="128"/>
      <c r="X516" s="247"/>
      <c r="Y516" s="128"/>
      <c r="Z516" s="247"/>
      <c r="AA516" s="128"/>
      <c r="AB516" s="247"/>
      <c r="AC516" s="128"/>
      <c r="AD516" s="247"/>
      <c r="AE516" s="128"/>
      <c r="AF516" s="247"/>
      <c r="AG516" s="128"/>
      <c r="AH516" s="247"/>
      <c r="AI516" s="128"/>
      <c r="AJ516" s="247"/>
      <c r="AK516" s="128"/>
      <c r="AL516" s="247"/>
      <c r="AM516" s="128"/>
      <c r="AN516" s="146"/>
    </row>
    <row r="517" spans="1:40" s="121" customFormat="1" ht="15" customHeight="1">
      <c r="A517" s="283" t="s">
        <v>1035</v>
      </c>
      <c r="B517" s="283" t="s">
        <v>441</v>
      </c>
      <c r="C517" s="284">
        <v>220075</v>
      </c>
      <c r="D517" s="284">
        <v>3</v>
      </c>
      <c r="E517" s="128">
        <v>3839</v>
      </c>
      <c r="F517" s="247">
        <v>4059</v>
      </c>
      <c r="G517" s="128">
        <v>11771</v>
      </c>
      <c r="H517" s="247">
        <v>12547</v>
      </c>
      <c r="I517" s="128">
        <v>4913</v>
      </c>
      <c r="J517" s="247">
        <v>5207</v>
      </c>
      <c r="K517" s="128">
        <v>12845</v>
      </c>
      <c r="L517" s="247">
        <v>13695</v>
      </c>
      <c r="M517" s="128"/>
      <c r="N517" s="247"/>
      <c r="O517" s="128"/>
      <c r="P517" s="247"/>
      <c r="Q517" s="128">
        <v>15817</v>
      </c>
      <c r="R517" s="247">
        <v>16875</v>
      </c>
      <c r="S517" s="128">
        <v>31507</v>
      </c>
      <c r="T517" s="247">
        <v>33663</v>
      </c>
      <c r="U517" s="128"/>
      <c r="V517" s="247"/>
      <c r="W517" s="128"/>
      <c r="X517" s="247"/>
      <c r="Y517" s="128"/>
      <c r="Z517" s="247"/>
      <c r="AA517" s="128"/>
      <c r="AB517" s="247"/>
      <c r="AC517" s="128"/>
      <c r="AD517" s="247"/>
      <c r="AE517" s="128"/>
      <c r="AF517" s="247"/>
      <c r="AG517" s="128"/>
      <c r="AH517" s="247"/>
      <c r="AI517" s="128"/>
      <c r="AJ517" s="247"/>
      <c r="AK517" s="128"/>
      <c r="AL517" s="247"/>
      <c r="AM517" s="128"/>
      <c r="AN517" s="146"/>
    </row>
    <row r="518" spans="1:40" s="121" customFormat="1" ht="15" customHeight="1">
      <c r="A518" s="283" t="s">
        <v>1035</v>
      </c>
      <c r="B518" s="283" t="s">
        <v>442</v>
      </c>
      <c r="C518" s="284">
        <v>220978</v>
      </c>
      <c r="D518" s="284">
        <v>3</v>
      </c>
      <c r="E518" s="128">
        <v>3990</v>
      </c>
      <c r="F518" s="247">
        <v>4210</v>
      </c>
      <c r="G518" s="128">
        <v>11922</v>
      </c>
      <c r="H518" s="247">
        <v>12698</v>
      </c>
      <c r="I518" s="128">
        <v>5064</v>
      </c>
      <c r="J518" s="247">
        <v>5358</v>
      </c>
      <c r="K518" s="128">
        <v>12996</v>
      </c>
      <c r="L518" s="247">
        <v>13846</v>
      </c>
      <c r="M518" s="128"/>
      <c r="N518" s="247"/>
      <c r="O518" s="128"/>
      <c r="P518" s="247"/>
      <c r="Q518" s="128"/>
      <c r="R518" s="247"/>
      <c r="S518" s="128"/>
      <c r="T518" s="247"/>
      <c r="U518" s="128"/>
      <c r="V518" s="247"/>
      <c r="W518" s="128"/>
      <c r="X518" s="247"/>
      <c r="Y518" s="128"/>
      <c r="Z518" s="247"/>
      <c r="AA518" s="128"/>
      <c r="AB518" s="247"/>
      <c r="AC518" s="128"/>
      <c r="AD518" s="247"/>
      <c r="AE518" s="128"/>
      <c r="AF518" s="247"/>
      <c r="AG518" s="128"/>
      <c r="AH518" s="247"/>
      <c r="AI518" s="128"/>
      <c r="AJ518" s="247"/>
      <c r="AK518" s="128"/>
      <c r="AL518" s="247"/>
      <c r="AM518" s="128"/>
      <c r="AN518" s="146"/>
    </row>
    <row r="519" spans="1:40" s="121" customFormat="1" ht="15" customHeight="1">
      <c r="A519" s="283" t="s">
        <v>1035</v>
      </c>
      <c r="B519" s="283" t="s">
        <v>443</v>
      </c>
      <c r="C519" s="284">
        <v>221838</v>
      </c>
      <c r="D519" s="284">
        <v>3</v>
      </c>
      <c r="E519" s="128">
        <v>3788</v>
      </c>
      <c r="F519" s="247">
        <v>4008</v>
      </c>
      <c r="G519" s="128">
        <v>11720</v>
      </c>
      <c r="H519" s="247">
        <v>12496</v>
      </c>
      <c r="I519" s="128">
        <v>4862</v>
      </c>
      <c r="J519" s="247">
        <v>5156</v>
      </c>
      <c r="K519" s="128">
        <v>12794</v>
      </c>
      <c r="L519" s="247">
        <v>13644</v>
      </c>
      <c r="M519" s="128"/>
      <c r="N519" s="247"/>
      <c r="O519" s="128"/>
      <c r="P519" s="247"/>
      <c r="Q519" s="128"/>
      <c r="R519" s="247"/>
      <c r="S519" s="128"/>
      <c r="T519" s="247"/>
      <c r="U519" s="128"/>
      <c r="V519" s="247"/>
      <c r="W519" s="128"/>
      <c r="X519" s="247"/>
      <c r="Y519" s="128"/>
      <c r="Z519" s="247"/>
      <c r="AA519" s="128"/>
      <c r="AB519" s="247"/>
      <c r="AC519" s="128"/>
      <c r="AD519" s="247"/>
      <c r="AE519" s="128"/>
      <c r="AF519" s="247"/>
      <c r="AG519" s="128"/>
      <c r="AH519" s="247"/>
      <c r="AI519" s="128"/>
      <c r="AJ519" s="247"/>
      <c r="AK519" s="128"/>
      <c r="AL519" s="247"/>
      <c r="AM519" s="128"/>
      <c r="AN519" s="146"/>
    </row>
    <row r="520" spans="1:40" s="121" customFormat="1" ht="15" customHeight="1">
      <c r="A520" s="283" t="s">
        <v>1035</v>
      </c>
      <c r="B520" s="283" t="s">
        <v>444</v>
      </c>
      <c r="C520" s="284">
        <v>221740</v>
      </c>
      <c r="D520" s="284">
        <v>3</v>
      </c>
      <c r="E520" s="128">
        <v>3852</v>
      </c>
      <c r="F520" s="247">
        <v>4093</v>
      </c>
      <c r="G520" s="128">
        <v>11504</v>
      </c>
      <c r="H520" s="247">
        <v>12350</v>
      </c>
      <c r="I520" s="128">
        <v>4458</v>
      </c>
      <c r="J520" s="247">
        <v>4747</v>
      </c>
      <c r="K520" s="128">
        <v>12110</v>
      </c>
      <c r="L520" s="247">
        <v>13004</v>
      </c>
      <c r="M520" s="128"/>
      <c r="N520" s="247"/>
      <c r="O520" s="128"/>
      <c r="P520" s="247"/>
      <c r="Q520" s="128"/>
      <c r="R520" s="247"/>
      <c r="S520" s="128"/>
      <c r="T520" s="247"/>
      <c r="U520" s="128"/>
      <c r="V520" s="247"/>
      <c r="W520" s="128"/>
      <c r="X520" s="247"/>
      <c r="Y520" s="128"/>
      <c r="Z520" s="247"/>
      <c r="AA520" s="128"/>
      <c r="AB520" s="247"/>
      <c r="AC520" s="128"/>
      <c r="AD520" s="247"/>
      <c r="AE520" s="128"/>
      <c r="AF520" s="247"/>
      <c r="AG520" s="128"/>
      <c r="AH520" s="247"/>
      <c r="AI520" s="128"/>
      <c r="AJ520" s="247"/>
      <c r="AK520" s="128"/>
      <c r="AL520" s="247"/>
      <c r="AM520" s="128"/>
      <c r="AN520" s="146"/>
    </row>
    <row r="521" spans="1:40" s="121" customFormat="1" ht="15" customHeight="1">
      <c r="A521" s="283" t="s">
        <v>1035</v>
      </c>
      <c r="B521" s="283" t="s">
        <v>445</v>
      </c>
      <c r="C521" s="284">
        <v>219602</v>
      </c>
      <c r="D521" s="284">
        <v>4</v>
      </c>
      <c r="E521" s="128">
        <v>4004</v>
      </c>
      <c r="F521" s="247">
        <v>4224</v>
      </c>
      <c r="G521" s="128">
        <v>11936</v>
      </c>
      <c r="H521" s="247">
        <v>12712</v>
      </c>
      <c r="I521" s="128">
        <v>5078</v>
      </c>
      <c r="J521" s="247">
        <v>5372</v>
      </c>
      <c r="K521" s="128">
        <v>13010</v>
      </c>
      <c r="L521" s="247">
        <v>13860</v>
      </c>
      <c r="M521" s="128"/>
      <c r="N521" s="247"/>
      <c r="O521" s="128"/>
      <c r="P521" s="247"/>
      <c r="Q521" s="128"/>
      <c r="R521" s="247"/>
      <c r="S521" s="128"/>
      <c r="T521" s="247"/>
      <c r="U521" s="128"/>
      <c r="V521" s="247"/>
      <c r="W521" s="128"/>
      <c r="X521" s="247"/>
      <c r="Y521" s="128"/>
      <c r="Z521" s="247"/>
      <c r="AA521" s="128"/>
      <c r="AB521" s="247"/>
      <c r="AC521" s="128"/>
      <c r="AD521" s="247"/>
      <c r="AE521" s="128"/>
      <c r="AF521" s="247"/>
      <c r="AG521" s="128"/>
      <c r="AH521" s="247"/>
      <c r="AI521" s="128"/>
      <c r="AJ521" s="247"/>
      <c r="AK521" s="128"/>
      <c r="AL521" s="247"/>
      <c r="AM521" s="128"/>
      <c r="AN521" s="146"/>
    </row>
    <row r="522" spans="1:40" s="121" customFormat="1" ht="15" customHeight="1">
      <c r="A522" s="283" t="s">
        <v>1035</v>
      </c>
      <c r="B522" s="283" t="s">
        <v>447</v>
      </c>
      <c r="C522" s="284">
        <v>221847</v>
      </c>
      <c r="D522" s="284">
        <v>4</v>
      </c>
      <c r="E522" s="128">
        <v>3750</v>
      </c>
      <c r="F522" s="247">
        <v>3970</v>
      </c>
      <c r="G522" s="128">
        <v>11682</v>
      </c>
      <c r="H522" s="247">
        <v>12458</v>
      </c>
      <c r="I522" s="128">
        <v>4824</v>
      </c>
      <c r="J522" s="247">
        <v>5118</v>
      </c>
      <c r="K522" s="128">
        <v>12756</v>
      </c>
      <c r="L522" s="247">
        <v>13606</v>
      </c>
      <c r="M522" s="128"/>
      <c r="N522" s="247"/>
      <c r="O522" s="128"/>
      <c r="P522" s="247"/>
      <c r="Q522" s="128"/>
      <c r="R522" s="247"/>
      <c r="S522" s="128"/>
      <c r="T522" s="247"/>
      <c r="U522" s="128"/>
      <c r="V522" s="247"/>
      <c r="W522" s="128"/>
      <c r="X522" s="247"/>
      <c r="Y522" s="128"/>
      <c r="Z522" s="247"/>
      <c r="AA522" s="128"/>
      <c r="AB522" s="247"/>
      <c r="AC522" s="128"/>
      <c r="AD522" s="247"/>
      <c r="AE522" s="128"/>
      <c r="AF522" s="247"/>
      <c r="AG522" s="128"/>
      <c r="AH522" s="247"/>
      <c r="AI522" s="128"/>
      <c r="AJ522" s="247"/>
      <c r="AK522" s="128"/>
      <c r="AL522" s="247"/>
      <c r="AM522" s="128"/>
      <c r="AN522" s="146"/>
    </row>
    <row r="523" spans="1:40" s="121" customFormat="1" ht="15" customHeight="1">
      <c r="A523" s="283" t="s">
        <v>1035</v>
      </c>
      <c r="B523" s="283" t="s">
        <v>448</v>
      </c>
      <c r="C523" s="284">
        <v>221768</v>
      </c>
      <c r="D523" s="284">
        <v>5</v>
      </c>
      <c r="E523" s="128">
        <v>3830</v>
      </c>
      <c r="F523" s="247">
        <v>4134</v>
      </c>
      <c r="G523" s="128">
        <v>11480</v>
      </c>
      <c r="H523" s="247">
        <v>12388</v>
      </c>
      <c r="I523" s="128">
        <v>4436</v>
      </c>
      <c r="J523" s="247">
        <v>4788</v>
      </c>
      <c r="K523" s="128">
        <v>12086</v>
      </c>
      <c r="L523" s="247">
        <v>13042</v>
      </c>
      <c r="M523" s="128"/>
      <c r="N523" s="247"/>
      <c r="O523" s="128"/>
      <c r="P523" s="247"/>
      <c r="Q523" s="128"/>
      <c r="R523" s="247"/>
      <c r="S523" s="128"/>
      <c r="T523" s="247"/>
      <c r="U523" s="128"/>
      <c r="V523" s="247"/>
      <c r="W523" s="128"/>
      <c r="X523" s="247"/>
      <c r="Y523" s="128"/>
      <c r="Z523" s="247"/>
      <c r="AA523" s="128"/>
      <c r="AB523" s="247"/>
      <c r="AC523" s="128"/>
      <c r="AD523" s="247"/>
      <c r="AE523" s="128"/>
      <c r="AF523" s="247"/>
      <c r="AG523" s="128"/>
      <c r="AH523" s="247"/>
      <c r="AI523" s="128"/>
      <c r="AJ523" s="247"/>
      <c r="AK523" s="128"/>
      <c r="AL523" s="247"/>
      <c r="AM523" s="128"/>
      <c r="AN523" s="146"/>
    </row>
    <row r="524" spans="1:40" s="121" customFormat="1" ht="15" customHeight="1">
      <c r="A524" s="283" t="s">
        <v>1035</v>
      </c>
      <c r="B524" s="283" t="s">
        <v>449</v>
      </c>
      <c r="C524" s="284" t="s">
        <v>450</v>
      </c>
      <c r="D524" s="284">
        <v>8</v>
      </c>
      <c r="E524" s="128">
        <v>2095</v>
      </c>
      <c r="F524" s="247">
        <v>2223</v>
      </c>
      <c r="G524" s="128">
        <v>7559</v>
      </c>
      <c r="H524" s="247">
        <v>8069</v>
      </c>
      <c r="I524" s="128"/>
      <c r="J524" s="247"/>
      <c r="K524" s="128"/>
      <c r="L524" s="247"/>
      <c r="M524" s="128"/>
      <c r="N524" s="247"/>
      <c r="O524" s="128"/>
      <c r="P524" s="247"/>
      <c r="Q524" s="128"/>
      <c r="R524" s="247"/>
      <c r="S524" s="128"/>
      <c r="T524" s="247"/>
      <c r="U524" s="128"/>
      <c r="V524" s="247"/>
      <c r="W524" s="128"/>
      <c r="X524" s="247"/>
      <c r="Y524" s="128"/>
      <c r="Z524" s="247"/>
      <c r="AA524" s="128"/>
      <c r="AB524" s="247"/>
      <c r="AC524" s="128"/>
      <c r="AD524" s="247"/>
      <c r="AE524" s="128"/>
      <c r="AF524" s="247"/>
      <c r="AG524" s="128"/>
      <c r="AH524" s="247"/>
      <c r="AI524" s="128"/>
      <c r="AJ524" s="247"/>
      <c r="AK524" s="128"/>
      <c r="AL524" s="247"/>
      <c r="AM524" s="128"/>
      <c r="AN524" s="146"/>
    </row>
    <row r="525" spans="1:40" s="121" customFormat="1" ht="15" customHeight="1">
      <c r="A525" s="283" t="s">
        <v>1035</v>
      </c>
      <c r="B525" s="283" t="s">
        <v>451</v>
      </c>
      <c r="C525" s="284">
        <v>221643</v>
      </c>
      <c r="D525" s="284">
        <v>8</v>
      </c>
      <c r="E525" s="128">
        <v>2085</v>
      </c>
      <c r="F525" s="247">
        <v>2213</v>
      </c>
      <c r="G525" s="128">
        <v>7549</v>
      </c>
      <c r="H525" s="247">
        <v>8059</v>
      </c>
      <c r="I525" s="128"/>
      <c r="J525" s="247"/>
      <c r="K525" s="128"/>
      <c r="L525" s="247"/>
      <c r="M525" s="128"/>
      <c r="N525" s="247"/>
      <c r="O525" s="128"/>
      <c r="P525" s="247"/>
      <c r="Q525" s="128"/>
      <c r="R525" s="247"/>
      <c r="S525" s="128"/>
      <c r="T525" s="247"/>
      <c r="U525" s="128"/>
      <c r="V525" s="247"/>
      <c r="W525" s="128"/>
      <c r="X525" s="247"/>
      <c r="Y525" s="128"/>
      <c r="Z525" s="247"/>
      <c r="AA525" s="128"/>
      <c r="AB525" s="247"/>
      <c r="AC525" s="128"/>
      <c r="AD525" s="247"/>
      <c r="AE525" s="128"/>
      <c r="AF525" s="247"/>
      <c r="AG525" s="128"/>
      <c r="AH525" s="247"/>
      <c r="AI525" s="128"/>
      <c r="AJ525" s="247"/>
      <c r="AK525" s="128"/>
      <c r="AL525" s="247"/>
      <c r="AM525" s="128"/>
      <c r="AN525" s="146"/>
    </row>
    <row r="526" spans="1:40" s="121" customFormat="1" ht="15" customHeight="1">
      <c r="A526" s="283" t="s">
        <v>1035</v>
      </c>
      <c r="B526" s="283" t="s">
        <v>452</v>
      </c>
      <c r="C526" s="284">
        <v>221485</v>
      </c>
      <c r="D526" s="284">
        <v>8</v>
      </c>
      <c r="E526" s="128">
        <v>2055</v>
      </c>
      <c r="F526" s="247">
        <v>2183</v>
      </c>
      <c r="G526" s="128">
        <v>7519</v>
      </c>
      <c r="H526" s="247">
        <v>8029</v>
      </c>
      <c r="I526" s="128"/>
      <c r="J526" s="247"/>
      <c r="K526" s="128"/>
      <c r="L526" s="247"/>
      <c r="M526" s="128"/>
      <c r="N526" s="247"/>
      <c r="O526" s="128"/>
      <c r="P526" s="247"/>
      <c r="Q526" s="128"/>
      <c r="R526" s="247"/>
      <c r="S526" s="128"/>
      <c r="T526" s="247"/>
      <c r="U526" s="128"/>
      <c r="V526" s="247"/>
      <c r="W526" s="128"/>
      <c r="X526" s="247"/>
      <c r="Y526" s="128"/>
      <c r="Z526" s="247"/>
      <c r="AA526" s="128"/>
      <c r="AB526" s="247"/>
      <c r="AC526" s="128"/>
      <c r="AD526" s="247"/>
      <c r="AE526" s="128"/>
      <c r="AF526" s="247"/>
      <c r="AG526" s="128"/>
      <c r="AH526" s="247"/>
      <c r="AI526" s="128"/>
      <c r="AJ526" s="247"/>
      <c r="AK526" s="128"/>
      <c r="AL526" s="247"/>
      <c r="AM526" s="128"/>
      <c r="AN526" s="146"/>
    </row>
    <row r="527" spans="1:40" s="121" customFormat="1" ht="15" customHeight="1">
      <c r="A527" s="283" t="s">
        <v>1035</v>
      </c>
      <c r="B527" s="283" t="s">
        <v>453</v>
      </c>
      <c r="C527" s="284">
        <v>219879</v>
      </c>
      <c r="D527" s="284">
        <v>9</v>
      </c>
      <c r="E527" s="128">
        <v>2067</v>
      </c>
      <c r="F527" s="247">
        <v>2195</v>
      </c>
      <c r="G527" s="128">
        <v>7531</v>
      </c>
      <c r="H527" s="247">
        <v>8041</v>
      </c>
      <c r="I527" s="128"/>
      <c r="J527" s="247"/>
      <c r="K527" s="128"/>
      <c r="L527" s="247"/>
      <c r="M527" s="128"/>
      <c r="N527" s="247"/>
      <c r="O527" s="128"/>
      <c r="P527" s="247"/>
      <c r="Q527" s="128"/>
      <c r="R527" s="247"/>
      <c r="S527" s="128"/>
      <c r="T527" s="247"/>
      <c r="U527" s="128"/>
      <c r="V527" s="247"/>
      <c r="W527" s="128"/>
      <c r="X527" s="247"/>
      <c r="Y527" s="128"/>
      <c r="Z527" s="247"/>
      <c r="AA527" s="128"/>
      <c r="AB527" s="247"/>
      <c r="AC527" s="128"/>
      <c r="AD527" s="247"/>
      <c r="AE527" s="128"/>
      <c r="AF527" s="247"/>
      <c r="AG527" s="128"/>
      <c r="AH527" s="247"/>
      <c r="AI527" s="128"/>
      <c r="AJ527" s="247"/>
      <c r="AK527" s="128"/>
      <c r="AL527" s="247"/>
      <c r="AM527" s="128"/>
      <c r="AN527" s="146"/>
    </row>
    <row r="528" spans="1:40" s="121" customFormat="1" ht="15" customHeight="1">
      <c r="A528" s="283" t="s">
        <v>1035</v>
      </c>
      <c r="B528" s="283" t="s">
        <v>981</v>
      </c>
      <c r="C528" s="284">
        <v>219888</v>
      </c>
      <c r="D528" s="284">
        <v>9</v>
      </c>
      <c r="E528" s="128">
        <v>2055</v>
      </c>
      <c r="F528" s="247">
        <v>2183</v>
      </c>
      <c r="G528" s="128">
        <v>7519</v>
      </c>
      <c r="H528" s="247">
        <v>8029</v>
      </c>
      <c r="I528" s="128"/>
      <c r="J528" s="247"/>
      <c r="K528" s="128"/>
      <c r="L528" s="247"/>
      <c r="M528" s="128"/>
      <c r="N528" s="247"/>
      <c r="O528" s="128"/>
      <c r="P528" s="247"/>
      <c r="Q528" s="128"/>
      <c r="R528" s="247"/>
      <c r="S528" s="128"/>
      <c r="T528" s="247"/>
      <c r="U528" s="128"/>
      <c r="V528" s="247"/>
      <c r="W528" s="128"/>
      <c r="X528" s="247"/>
      <c r="Y528" s="128"/>
      <c r="Z528" s="247"/>
      <c r="AA528" s="128"/>
      <c r="AB528" s="247"/>
      <c r="AC528" s="128"/>
      <c r="AD528" s="247"/>
      <c r="AE528" s="128"/>
      <c r="AF528" s="247"/>
      <c r="AG528" s="128"/>
      <c r="AH528" s="247"/>
      <c r="AI528" s="128"/>
      <c r="AJ528" s="247"/>
      <c r="AK528" s="128"/>
      <c r="AL528" s="247"/>
      <c r="AM528" s="128"/>
      <c r="AN528" s="146"/>
    </row>
    <row r="529" spans="1:40" s="121" customFormat="1" ht="15" customHeight="1">
      <c r="A529" s="283" t="s">
        <v>1035</v>
      </c>
      <c r="B529" s="283" t="s">
        <v>982</v>
      </c>
      <c r="C529" s="284">
        <v>220400</v>
      </c>
      <c r="D529" s="284">
        <v>9</v>
      </c>
      <c r="E529" s="128">
        <v>2057</v>
      </c>
      <c r="F529" s="247">
        <v>2185</v>
      </c>
      <c r="G529" s="128">
        <v>7521</v>
      </c>
      <c r="H529" s="247">
        <v>8031</v>
      </c>
      <c r="I529" s="128"/>
      <c r="J529" s="247"/>
      <c r="K529" s="128"/>
      <c r="L529" s="247"/>
      <c r="M529" s="128"/>
      <c r="N529" s="247"/>
      <c r="O529" s="128"/>
      <c r="P529" s="247"/>
      <c r="Q529" s="128"/>
      <c r="R529" s="247"/>
      <c r="S529" s="128"/>
      <c r="T529" s="247"/>
      <c r="U529" s="128"/>
      <c r="V529" s="247"/>
      <c r="W529" s="128"/>
      <c r="X529" s="247"/>
      <c r="Y529" s="128"/>
      <c r="Z529" s="247"/>
      <c r="AA529" s="128"/>
      <c r="AB529" s="247"/>
      <c r="AC529" s="128"/>
      <c r="AD529" s="247"/>
      <c r="AE529" s="128"/>
      <c r="AF529" s="247"/>
      <c r="AG529" s="128"/>
      <c r="AH529" s="247"/>
      <c r="AI529" s="128"/>
      <c r="AJ529" s="247"/>
      <c r="AK529" s="128"/>
      <c r="AL529" s="247"/>
      <c r="AM529" s="128"/>
      <c r="AN529" s="146"/>
    </row>
    <row r="530" spans="1:40" s="121" customFormat="1" ht="15" customHeight="1">
      <c r="A530" s="283" t="s">
        <v>1035</v>
      </c>
      <c r="B530" s="283" t="s">
        <v>983</v>
      </c>
      <c r="C530" s="284">
        <v>221096</v>
      </c>
      <c r="D530" s="284">
        <v>9</v>
      </c>
      <c r="E530" s="128">
        <v>2059</v>
      </c>
      <c r="F530" s="247">
        <v>2187</v>
      </c>
      <c r="G530" s="128">
        <v>7523</v>
      </c>
      <c r="H530" s="247">
        <v>8033</v>
      </c>
      <c r="I530" s="128"/>
      <c r="J530" s="247"/>
      <c r="K530" s="128"/>
      <c r="L530" s="247"/>
      <c r="M530" s="128"/>
      <c r="N530" s="247"/>
      <c r="O530" s="128"/>
      <c r="P530" s="247"/>
      <c r="Q530" s="128"/>
      <c r="R530" s="247"/>
      <c r="S530" s="128"/>
      <c r="T530" s="247"/>
      <c r="U530" s="128"/>
      <c r="V530" s="247"/>
      <c r="W530" s="128"/>
      <c r="X530" s="247"/>
      <c r="Y530" s="128"/>
      <c r="Z530" s="247"/>
      <c r="AA530" s="128"/>
      <c r="AB530" s="247"/>
      <c r="AC530" s="128"/>
      <c r="AD530" s="247"/>
      <c r="AE530" s="128"/>
      <c r="AF530" s="247"/>
      <c r="AG530" s="128"/>
      <c r="AH530" s="247"/>
      <c r="AI530" s="128"/>
      <c r="AJ530" s="247"/>
      <c r="AK530" s="128"/>
      <c r="AL530" s="247"/>
      <c r="AM530" s="128"/>
      <c r="AN530" s="146"/>
    </row>
    <row r="531" spans="1:40" s="121" customFormat="1" ht="15" customHeight="1">
      <c r="A531" s="283" t="s">
        <v>1035</v>
      </c>
      <c r="B531" s="283" t="s">
        <v>984</v>
      </c>
      <c r="C531" s="284">
        <v>221184</v>
      </c>
      <c r="D531" s="284">
        <v>9</v>
      </c>
      <c r="E531" s="128">
        <v>2049</v>
      </c>
      <c r="F531" s="247">
        <v>2177</v>
      </c>
      <c r="G531" s="128">
        <v>7513</v>
      </c>
      <c r="H531" s="247">
        <v>8023</v>
      </c>
      <c r="I531" s="128"/>
      <c r="J531" s="247"/>
      <c r="K531" s="128"/>
      <c r="L531" s="247"/>
      <c r="M531" s="128"/>
      <c r="N531" s="247"/>
      <c r="O531" s="128"/>
      <c r="P531" s="247"/>
      <c r="Q531" s="128"/>
      <c r="R531" s="247"/>
      <c r="S531" s="128"/>
      <c r="T531" s="247"/>
      <c r="U531" s="128"/>
      <c r="V531" s="247"/>
      <c r="W531" s="128"/>
      <c r="X531" s="247"/>
      <c r="Y531" s="128"/>
      <c r="Z531" s="247"/>
      <c r="AA531" s="128"/>
      <c r="AB531" s="247"/>
      <c r="AC531" s="128"/>
      <c r="AD531" s="247"/>
      <c r="AE531" s="128"/>
      <c r="AF531" s="247"/>
      <c r="AG531" s="128"/>
      <c r="AH531" s="247"/>
      <c r="AI531" s="128"/>
      <c r="AJ531" s="247"/>
      <c r="AK531" s="128"/>
      <c r="AL531" s="247"/>
      <c r="AM531" s="128"/>
      <c r="AN531" s="146"/>
    </row>
    <row r="532" spans="1:40" s="121" customFormat="1" ht="15" customHeight="1">
      <c r="A532" s="283" t="s">
        <v>1035</v>
      </c>
      <c r="B532" s="283" t="s">
        <v>985</v>
      </c>
      <c r="C532" s="284">
        <v>221908</v>
      </c>
      <c r="D532" s="284">
        <v>9</v>
      </c>
      <c r="E532" s="128">
        <v>2075</v>
      </c>
      <c r="F532" s="247">
        <v>2203</v>
      </c>
      <c r="G532" s="128">
        <v>7539</v>
      </c>
      <c r="H532" s="247">
        <v>8049</v>
      </c>
      <c r="I532" s="128"/>
      <c r="J532" s="247"/>
      <c r="K532" s="128"/>
      <c r="L532" s="247"/>
      <c r="M532" s="128"/>
      <c r="N532" s="247"/>
      <c r="O532" s="128"/>
      <c r="P532" s="247"/>
      <c r="Q532" s="128"/>
      <c r="R532" s="247"/>
      <c r="S532" s="128"/>
      <c r="T532" s="247"/>
      <c r="U532" s="128"/>
      <c r="V532" s="247"/>
      <c r="W532" s="128"/>
      <c r="X532" s="247"/>
      <c r="Y532" s="128"/>
      <c r="Z532" s="247"/>
      <c r="AA532" s="128"/>
      <c r="AB532" s="247"/>
      <c r="AC532" s="128"/>
      <c r="AD532" s="247"/>
      <c r="AE532" s="128"/>
      <c r="AF532" s="247"/>
      <c r="AG532" s="128"/>
      <c r="AH532" s="247"/>
      <c r="AI532" s="128"/>
      <c r="AJ532" s="247"/>
      <c r="AK532" s="128"/>
      <c r="AL532" s="247"/>
      <c r="AM532" s="128"/>
      <c r="AN532" s="146"/>
    </row>
    <row r="533" spans="1:40" s="121" customFormat="1" ht="15" customHeight="1">
      <c r="A533" s="283" t="s">
        <v>1035</v>
      </c>
      <c r="B533" s="283" t="s">
        <v>986</v>
      </c>
      <c r="C533" s="284">
        <v>221397</v>
      </c>
      <c r="D533" s="284">
        <v>9</v>
      </c>
      <c r="E533" s="128">
        <v>2069</v>
      </c>
      <c r="F533" s="247">
        <v>2197</v>
      </c>
      <c r="G533" s="128">
        <v>7533</v>
      </c>
      <c r="H533" s="247">
        <v>8043</v>
      </c>
      <c r="I533" s="128"/>
      <c r="J533" s="247"/>
      <c r="K533" s="128"/>
      <c r="L533" s="247"/>
      <c r="M533" s="128"/>
      <c r="N533" s="247"/>
      <c r="O533" s="128"/>
      <c r="P533" s="247"/>
      <c r="Q533" s="128"/>
      <c r="R533" s="247"/>
      <c r="S533" s="128"/>
      <c r="T533" s="247"/>
      <c r="U533" s="128"/>
      <c r="V533" s="247"/>
      <c r="W533" s="128"/>
      <c r="X533" s="247"/>
      <c r="Y533" s="128"/>
      <c r="Z533" s="247"/>
      <c r="AA533" s="128"/>
      <c r="AB533" s="247"/>
      <c r="AC533" s="128"/>
      <c r="AD533" s="247"/>
      <c r="AE533" s="128"/>
      <c r="AF533" s="247"/>
      <c r="AG533" s="128"/>
      <c r="AH533" s="247"/>
      <c r="AI533" s="128"/>
      <c r="AJ533" s="247"/>
      <c r="AK533" s="128"/>
      <c r="AL533" s="247"/>
      <c r="AM533" s="128"/>
      <c r="AN533" s="146"/>
    </row>
    <row r="534" spans="1:40" s="121" customFormat="1" ht="15" customHeight="1">
      <c r="A534" s="283" t="s">
        <v>1035</v>
      </c>
      <c r="B534" s="283" t="s">
        <v>987</v>
      </c>
      <c r="C534" s="284">
        <v>222053</v>
      </c>
      <c r="D534" s="284">
        <v>9</v>
      </c>
      <c r="E534" s="128">
        <v>2061</v>
      </c>
      <c r="F534" s="247">
        <v>2189</v>
      </c>
      <c r="G534" s="128">
        <v>7525</v>
      </c>
      <c r="H534" s="247">
        <v>8035</v>
      </c>
      <c r="I534" s="128"/>
      <c r="J534" s="247"/>
      <c r="K534" s="128"/>
      <c r="L534" s="247"/>
      <c r="M534" s="128"/>
      <c r="N534" s="247"/>
      <c r="O534" s="128"/>
      <c r="P534" s="247"/>
      <c r="Q534" s="128"/>
      <c r="R534" s="247"/>
      <c r="S534" s="128"/>
      <c r="T534" s="247"/>
      <c r="U534" s="128"/>
      <c r="V534" s="247"/>
      <c r="W534" s="128"/>
      <c r="X534" s="247"/>
      <c r="Y534" s="128"/>
      <c r="Z534" s="247"/>
      <c r="AA534" s="128"/>
      <c r="AB534" s="247"/>
      <c r="AC534" s="128"/>
      <c r="AD534" s="247"/>
      <c r="AE534" s="128"/>
      <c r="AF534" s="247"/>
      <c r="AG534" s="128"/>
      <c r="AH534" s="247"/>
      <c r="AI534" s="128"/>
      <c r="AJ534" s="247"/>
      <c r="AK534" s="128"/>
      <c r="AL534" s="247"/>
      <c r="AM534" s="128"/>
      <c r="AN534" s="146"/>
    </row>
    <row r="535" spans="1:40" s="121" customFormat="1" ht="15" customHeight="1">
      <c r="A535" s="283" t="s">
        <v>1035</v>
      </c>
      <c r="B535" s="283" t="s">
        <v>988</v>
      </c>
      <c r="C535" s="284">
        <v>222062</v>
      </c>
      <c r="D535" s="284">
        <v>9</v>
      </c>
      <c r="E535" s="128">
        <v>2059</v>
      </c>
      <c r="F535" s="247">
        <v>2187</v>
      </c>
      <c r="G535" s="128">
        <v>7523</v>
      </c>
      <c r="H535" s="247">
        <v>8033</v>
      </c>
      <c r="I535" s="128"/>
      <c r="J535" s="247"/>
      <c r="K535" s="128"/>
      <c r="L535" s="247"/>
      <c r="M535" s="128"/>
      <c r="N535" s="247"/>
      <c r="O535" s="128"/>
      <c r="P535" s="247"/>
      <c r="Q535" s="128"/>
      <c r="R535" s="247"/>
      <c r="S535" s="128"/>
      <c r="T535" s="247"/>
      <c r="U535" s="128"/>
      <c r="V535" s="247"/>
      <c r="W535" s="128"/>
      <c r="X535" s="247"/>
      <c r="Y535" s="128"/>
      <c r="Z535" s="247"/>
      <c r="AA535" s="128"/>
      <c r="AB535" s="247"/>
      <c r="AC535" s="128"/>
      <c r="AD535" s="247"/>
      <c r="AE535" s="128"/>
      <c r="AF535" s="247"/>
      <c r="AG535" s="128"/>
      <c r="AH535" s="247"/>
      <c r="AI535" s="128"/>
      <c r="AJ535" s="247"/>
      <c r="AK535" s="128"/>
      <c r="AL535" s="247"/>
      <c r="AM535" s="128"/>
      <c r="AN535" s="146"/>
    </row>
    <row r="536" spans="1:40" s="121" customFormat="1" ht="15" customHeight="1">
      <c r="A536" s="283" t="s">
        <v>1035</v>
      </c>
      <c r="B536" s="283" t="s">
        <v>989</v>
      </c>
      <c r="C536" s="284">
        <v>220057</v>
      </c>
      <c r="D536" s="284">
        <v>10</v>
      </c>
      <c r="E536" s="128">
        <v>2055</v>
      </c>
      <c r="F536" s="247">
        <v>2183</v>
      </c>
      <c r="G536" s="128">
        <v>7519</v>
      </c>
      <c r="H536" s="247">
        <v>8029</v>
      </c>
      <c r="I536" s="128"/>
      <c r="J536" s="247"/>
      <c r="K536" s="128"/>
      <c r="L536" s="247"/>
      <c r="M536" s="128"/>
      <c r="N536" s="247"/>
      <c r="O536" s="128"/>
      <c r="P536" s="247"/>
      <c r="Q536" s="128"/>
      <c r="R536" s="247"/>
      <c r="S536" s="128"/>
      <c r="T536" s="247"/>
      <c r="U536" s="128"/>
      <c r="V536" s="247"/>
      <c r="W536" s="128"/>
      <c r="X536" s="247"/>
      <c r="Y536" s="128"/>
      <c r="Z536" s="247"/>
      <c r="AA536" s="128"/>
      <c r="AB536" s="247"/>
      <c r="AC536" s="128"/>
      <c r="AD536" s="247"/>
      <c r="AE536" s="128"/>
      <c r="AF536" s="247"/>
      <c r="AG536" s="128"/>
      <c r="AH536" s="247"/>
      <c r="AI536" s="128"/>
      <c r="AJ536" s="247"/>
      <c r="AK536" s="128"/>
      <c r="AL536" s="247"/>
      <c r="AM536" s="128"/>
      <c r="AN536" s="146"/>
    </row>
    <row r="537" spans="1:40" s="121" customFormat="1" ht="15" customHeight="1">
      <c r="A537" s="283" t="s">
        <v>1035</v>
      </c>
      <c r="B537" s="283" t="s">
        <v>990</v>
      </c>
      <c r="C537" s="284">
        <v>220853</v>
      </c>
      <c r="D537" s="284">
        <v>12</v>
      </c>
      <c r="E537" s="128">
        <v>1548</v>
      </c>
      <c r="F537" s="247">
        <v>1752</v>
      </c>
      <c r="G537" s="128"/>
      <c r="H537" s="247"/>
      <c r="I537" s="128"/>
      <c r="J537" s="247"/>
      <c r="K537" s="128"/>
      <c r="L537" s="247"/>
      <c r="M537" s="128"/>
      <c r="N537" s="247"/>
      <c r="O537" s="128"/>
      <c r="P537" s="247"/>
      <c r="Q537" s="128"/>
      <c r="R537" s="247"/>
      <c r="S537" s="128"/>
      <c r="T537" s="247"/>
      <c r="U537" s="128"/>
      <c r="V537" s="247"/>
      <c r="W537" s="128"/>
      <c r="X537" s="247"/>
      <c r="Y537" s="128"/>
      <c r="Z537" s="247"/>
      <c r="AA537" s="128"/>
      <c r="AB537" s="247"/>
      <c r="AC537" s="128"/>
      <c r="AD537" s="247"/>
      <c r="AE537" s="128"/>
      <c r="AF537" s="247"/>
      <c r="AG537" s="128"/>
      <c r="AH537" s="247"/>
      <c r="AI537" s="128"/>
      <c r="AJ537" s="247"/>
      <c r="AK537" s="128"/>
      <c r="AL537" s="247"/>
      <c r="AM537" s="128"/>
      <c r="AN537" s="146"/>
    </row>
    <row r="538" spans="1:40" s="121" customFormat="1" ht="15" customHeight="1">
      <c r="A538" s="283" t="s">
        <v>1035</v>
      </c>
      <c r="B538" s="283" t="s">
        <v>991</v>
      </c>
      <c r="C538" s="284">
        <v>219596</v>
      </c>
      <c r="D538" s="284">
        <v>13</v>
      </c>
      <c r="E538" s="128">
        <v>1548</v>
      </c>
      <c r="F538" s="247">
        <v>1752</v>
      </c>
      <c r="G538" s="128"/>
      <c r="H538" s="247"/>
      <c r="I538" s="128"/>
      <c r="J538" s="247"/>
      <c r="K538" s="128"/>
      <c r="L538" s="247"/>
      <c r="M538" s="128"/>
      <c r="N538" s="247"/>
      <c r="O538" s="128"/>
      <c r="P538" s="247"/>
      <c r="Q538" s="128"/>
      <c r="R538" s="247"/>
      <c r="S538" s="128"/>
      <c r="T538" s="247"/>
      <c r="U538" s="128"/>
      <c r="V538" s="247"/>
      <c r="W538" s="128"/>
      <c r="X538" s="247"/>
      <c r="Y538" s="128"/>
      <c r="Z538" s="247"/>
      <c r="AA538" s="128"/>
      <c r="AB538" s="247"/>
      <c r="AC538" s="128"/>
      <c r="AD538" s="247"/>
      <c r="AE538" s="128"/>
      <c r="AF538" s="247"/>
      <c r="AG538" s="128"/>
      <c r="AH538" s="247"/>
      <c r="AI538" s="128"/>
      <c r="AJ538" s="247"/>
      <c r="AK538" s="128"/>
      <c r="AL538" s="247"/>
      <c r="AM538" s="128"/>
      <c r="AN538" s="146"/>
    </row>
    <row r="539" spans="1:40" s="121" customFormat="1" ht="15" customHeight="1">
      <c r="A539" s="283" t="s">
        <v>1035</v>
      </c>
      <c r="B539" s="283" t="s">
        <v>992</v>
      </c>
      <c r="C539" s="284" t="s">
        <v>993</v>
      </c>
      <c r="D539" s="284">
        <v>13</v>
      </c>
      <c r="E539" s="128">
        <v>1548</v>
      </c>
      <c r="F539" s="247">
        <v>1752</v>
      </c>
      <c r="G539" s="128"/>
      <c r="H539" s="247"/>
      <c r="I539" s="128"/>
      <c r="J539" s="247"/>
      <c r="K539" s="128"/>
      <c r="L539" s="247"/>
      <c r="M539" s="128"/>
      <c r="N539" s="247"/>
      <c r="O539" s="128"/>
      <c r="P539" s="247"/>
      <c r="Q539" s="128"/>
      <c r="R539" s="247"/>
      <c r="S539" s="128"/>
      <c r="T539" s="247"/>
      <c r="U539" s="128"/>
      <c r="V539" s="247"/>
      <c r="W539" s="128"/>
      <c r="X539" s="247"/>
      <c r="Y539" s="128"/>
      <c r="Z539" s="247"/>
      <c r="AA539" s="128"/>
      <c r="AB539" s="247"/>
      <c r="AC539" s="128"/>
      <c r="AD539" s="247"/>
      <c r="AE539" s="128"/>
      <c r="AF539" s="247"/>
      <c r="AG539" s="128"/>
      <c r="AH539" s="247"/>
      <c r="AI539" s="128"/>
      <c r="AJ539" s="247"/>
      <c r="AK539" s="128"/>
      <c r="AL539" s="247"/>
      <c r="AM539" s="128"/>
      <c r="AN539" s="146"/>
    </row>
    <row r="540" spans="1:40" s="121" customFormat="1" ht="15" customHeight="1">
      <c r="A540" s="283" t="s">
        <v>1035</v>
      </c>
      <c r="B540" s="283" t="s">
        <v>994</v>
      </c>
      <c r="C540" s="284">
        <v>219921</v>
      </c>
      <c r="D540" s="284">
        <v>13</v>
      </c>
      <c r="E540" s="128">
        <v>1548</v>
      </c>
      <c r="F540" s="247">
        <v>1752</v>
      </c>
      <c r="G540" s="128"/>
      <c r="H540" s="247"/>
      <c r="I540" s="128"/>
      <c r="J540" s="247"/>
      <c r="K540" s="128"/>
      <c r="L540" s="247"/>
      <c r="M540" s="128"/>
      <c r="N540" s="247"/>
      <c r="O540" s="128"/>
      <c r="P540" s="247"/>
      <c r="Q540" s="128"/>
      <c r="R540" s="247"/>
      <c r="S540" s="128"/>
      <c r="T540" s="247"/>
      <c r="U540" s="128"/>
      <c r="V540" s="247"/>
      <c r="W540" s="128"/>
      <c r="X540" s="247"/>
      <c r="Y540" s="128"/>
      <c r="Z540" s="247"/>
      <c r="AA540" s="128"/>
      <c r="AB540" s="247"/>
      <c r="AC540" s="128"/>
      <c r="AD540" s="247"/>
      <c r="AE540" s="128"/>
      <c r="AF540" s="247"/>
      <c r="AG540" s="128"/>
      <c r="AH540" s="247"/>
      <c r="AI540" s="128"/>
      <c r="AJ540" s="247"/>
      <c r="AK540" s="128"/>
      <c r="AL540" s="247"/>
      <c r="AM540" s="128"/>
      <c r="AN540" s="146"/>
    </row>
    <row r="541" spans="1:40" s="121" customFormat="1" ht="15" customHeight="1">
      <c r="A541" s="283" t="s">
        <v>1035</v>
      </c>
      <c r="B541" s="283" t="s">
        <v>995</v>
      </c>
      <c r="C541" s="284">
        <v>221591</v>
      </c>
      <c r="D541" s="284">
        <v>13</v>
      </c>
      <c r="E541" s="128">
        <v>1548</v>
      </c>
      <c r="F541" s="247">
        <v>1752</v>
      </c>
      <c r="G541" s="128"/>
      <c r="H541" s="247"/>
      <c r="I541" s="128"/>
      <c r="J541" s="247"/>
      <c r="K541" s="128"/>
      <c r="L541" s="247"/>
      <c r="M541" s="128"/>
      <c r="N541" s="247"/>
      <c r="O541" s="128"/>
      <c r="P541" s="247"/>
      <c r="Q541" s="128"/>
      <c r="R541" s="247"/>
      <c r="S541" s="128"/>
      <c r="T541" s="247"/>
      <c r="U541" s="128"/>
      <c r="V541" s="247"/>
      <c r="W541" s="128"/>
      <c r="X541" s="247"/>
      <c r="Y541" s="128"/>
      <c r="Z541" s="247"/>
      <c r="AA541" s="128"/>
      <c r="AB541" s="247"/>
      <c r="AC541" s="128"/>
      <c r="AD541" s="247"/>
      <c r="AE541" s="128"/>
      <c r="AF541" s="247"/>
      <c r="AG541" s="128"/>
      <c r="AH541" s="247"/>
      <c r="AI541" s="128"/>
      <c r="AJ541" s="247"/>
      <c r="AK541" s="128"/>
      <c r="AL541" s="247"/>
      <c r="AM541" s="128"/>
      <c r="AN541" s="146"/>
    </row>
    <row r="542" spans="1:40" s="121" customFormat="1" ht="15" customHeight="1">
      <c r="A542" s="283" t="s">
        <v>1035</v>
      </c>
      <c r="B542" s="283" t="s">
        <v>996</v>
      </c>
      <c r="C542" s="284">
        <v>221430</v>
      </c>
      <c r="D542" s="284">
        <v>13</v>
      </c>
      <c r="E542" s="128">
        <v>1548</v>
      </c>
      <c r="F542" s="247">
        <v>1752</v>
      </c>
      <c r="G542" s="128"/>
      <c r="H542" s="247"/>
      <c r="I542" s="128"/>
      <c r="J542" s="247"/>
      <c r="K542" s="128"/>
      <c r="L542" s="247"/>
      <c r="M542" s="128"/>
      <c r="N542" s="247"/>
      <c r="O542" s="128"/>
      <c r="P542" s="247"/>
      <c r="Q542" s="128"/>
      <c r="R542" s="247"/>
      <c r="S542" s="128"/>
      <c r="T542" s="247"/>
      <c r="U542" s="128"/>
      <c r="V542" s="247"/>
      <c r="W542" s="128"/>
      <c r="X542" s="247"/>
      <c r="Y542" s="128"/>
      <c r="Z542" s="247"/>
      <c r="AA542" s="128"/>
      <c r="AB542" s="247"/>
      <c r="AC542" s="128"/>
      <c r="AD542" s="247"/>
      <c r="AE542" s="128"/>
      <c r="AF542" s="247"/>
      <c r="AG542" s="128"/>
      <c r="AH542" s="247"/>
      <c r="AI542" s="128"/>
      <c r="AJ542" s="247"/>
      <c r="AK542" s="128"/>
      <c r="AL542" s="247"/>
      <c r="AM542" s="128"/>
      <c r="AN542" s="146"/>
    </row>
    <row r="543" spans="1:40" s="121" customFormat="1" ht="15" customHeight="1">
      <c r="A543" s="283" t="s">
        <v>1035</v>
      </c>
      <c r="B543" s="283" t="s">
        <v>997</v>
      </c>
      <c r="C543" s="284">
        <v>219994</v>
      </c>
      <c r="D543" s="284">
        <v>13</v>
      </c>
      <c r="E543" s="128">
        <v>1548</v>
      </c>
      <c r="F543" s="247">
        <v>1752</v>
      </c>
      <c r="G543" s="128"/>
      <c r="H543" s="247"/>
      <c r="I543" s="128"/>
      <c r="J543" s="247"/>
      <c r="K543" s="128"/>
      <c r="L543" s="247"/>
      <c r="M543" s="128"/>
      <c r="N543" s="247"/>
      <c r="O543" s="128"/>
      <c r="P543" s="247"/>
      <c r="Q543" s="128"/>
      <c r="R543" s="247"/>
      <c r="S543" s="128"/>
      <c r="T543" s="247"/>
      <c r="U543" s="128"/>
      <c r="V543" s="247"/>
      <c r="W543" s="128"/>
      <c r="X543" s="247"/>
      <c r="Y543" s="128"/>
      <c r="Z543" s="247"/>
      <c r="AA543" s="128"/>
      <c r="AB543" s="247"/>
      <c r="AC543" s="128"/>
      <c r="AD543" s="247"/>
      <c r="AE543" s="128"/>
      <c r="AF543" s="247"/>
      <c r="AG543" s="128"/>
      <c r="AH543" s="247"/>
      <c r="AI543" s="128"/>
      <c r="AJ543" s="247"/>
      <c r="AK543" s="128"/>
      <c r="AL543" s="247"/>
      <c r="AM543" s="128"/>
      <c r="AN543" s="146"/>
    </row>
    <row r="544" spans="1:40" s="121" customFormat="1" ht="15" customHeight="1">
      <c r="A544" s="283" t="s">
        <v>1035</v>
      </c>
      <c r="B544" s="283" t="s">
        <v>998</v>
      </c>
      <c r="C544" s="284">
        <v>220127</v>
      </c>
      <c r="D544" s="284">
        <v>13</v>
      </c>
      <c r="E544" s="128">
        <v>1548</v>
      </c>
      <c r="F544" s="247">
        <v>1752</v>
      </c>
      <c r="G544" s="128"/>
      <c r="H544" s="247"/>
      <c r="I544" s="128"/>
      <c r="J544" s="247"/>
      <c r="K544" s="128"/>
      <c r="L544" s="247"/>
      <c r="M544" s="128"/>
      <c r="N544" s="247"/>
      <c r="O544" s="128"/>
      <c r="P544" s="247"/>
      <c r="Q544" s="128"/>
      <c r="R544" s="247"/>
      <c r="S544" s="128"/>
      <c r="T544" s="247"/>
      <c r="U544" s="128"/>
      <c r="V544" s="247"/>
      <c r="W544" s="128"/>
      <c r="X544" s="247"/>
      <c r="Y544" s="128"/>
      <c r="Z544" s="247"/>
      <c r="AA544" s="128"/>
      <c r="AB544" s="247"/>
      <c r="AC544" s="128"/>
      <c r="AD544" s="247"/>
      <c r="AE544" s="128"/>
      <c r="AF544" s="247"/>
      <c r="AG544" s="128"/>
      <c r="AH544" s="247"/>
      <c r="AI544" s="128"/>
      <c r="AJ544" s="247"/>
      <c r="AK544" s="128"/>
      <c r="AL544" s="247"/>
      <c r="AM544" s="128"/>
      <c r="AN544" s="146"/>
    </row>
    <row r="545" spans="1:40" s="121" customFormat="1" ht="15" customHeight="1">
      <c r="A545" s="283" t="s">
        <v>1035</v>
      </c>
      <c r="B545" s="283" t="s">
        <v>999</v>
      </c>
      <c r="C545" s="284">
        <v>220251</v>
      </c>
      <c r="D545" s="284">
        <v>13</v>
      </c>
      <c r="E545" s="128">
        <v>1548</v>
      </c>
      <c r="F545" s="247">
        <v>1752</v>
      </c>
      <c r="G545" s="128"/>
      <c r="H545" s="247"/>
      <c r="I545" s="128"/>
      <c r="J545" s="247"/>
      <c r="K545" s="128"/>
      <c r="L545" s="247"/>
      <c r="M545" s="128"/>
      <c r="N545" s="247"/>
      <c r="O545" s="128"/>
      <c r="P545" s="247"/>
      <c r="Q545" s="128"/>
      <c r="R545" s="247"/>
      <c r="S545" s="128"/>
      <c r="T545" s="247"/>
      <c r="U545" s="128"/>
      <c r="V545" s="247"/>
      <c r="W545" s="128"/>
      <c r="X545" s="247"/>
      <c r="Y545" s="128"/>
      <c r="Z545" s="247"/>
      <c r="AA545" s="128"/>
      <c r="AB545" s="247"/>
      <c r="AC545" s="128"/>
      <c r="AD545" s="247"/>
      <c r="AE545" s="128"/>
      <c r="AF545" s="247"/>
      <c r="AG545" s="128"/>
      <c r="AH545" s="247"/>
      <c r="AI545" s="128"/>
      <c r="AJ545" s="247"/>
      <c r="AK545" s="128"/>
      <c r="AL545" s="247"/>
      <c r="AM545" s="128"/>
      <c r="AN545" s="146"/>
    </row>
    <row r="546" spans="1:40" s="121" customFormat="1" ht="15" customHeight="1">
      <c r="A546" s="283" t="s">
        <v>1035</v>
      </c>
      <c r="B546" s="283" t="s">
        <v>1000</v>
      </c>
      <c r="C546" s="284">
        <v>220279</v>
      </c>
      <c r="D546" s="284">
        <v>13</v>
      </c>
      <c r="E546" s="128">
        <v>1548</v>
      </c>
      <c r="F546" s="247">
        <v>1752</v>
      </c>
      <c r="G546" s="128"/>
      <c r="H546" s="247"/>
      <c r="I546" s="128"/>
      <c r="J546" s="247"/>
      <c r="K546" s="128"/>
      <c r="L546" s="247"/>
      <c r="M546" s="128"/>
      <c r="N546" s="247"/>
      <c r="O546" s="128"/>
      <c r="P546" s="247"/>
      <c r="Q546" s="128"/>
      <c r="R546" s="247"/>
      <c r="S546" s="128"/>
      <c r="T546" s="247"/>
      <c r="U546" s="128"/>
      <c r="V546" s="247"/>
      <c r="W546" s="128"/>
      <c r="X546" s="247"/>
      <c r="Y546" s="128"/>
      <c r="Z546" s="247"/>
      <c r="AA546" s="128"/>
      <c r="AB546" s="247"/>
      <c r="AC546" s="128"/>
      <c r="AD546" s="247"/>
      <c r="AE546" s="128"/>
      <c r="AF546" s="247"/>
      <c r="AG546" s="128"/>
      <c r="AH546" s="247"/>
      <c r="AI546" s="128"/>
      <c r="AJ546" s="247"/>
      <c r="AK546" s="128"/>
      <c r="AL546" s="247"/>
      <c r="AM546" s="128"/>
      <c r="AN546" s="146"/>
    </row>
    <row r="547" spans="1:40" s="121" customFormat="1" ht="15" customHeight="1">
      <c r="A547" s="283" t="s">
        <v>1035</v>
      </c>
      <c r="B547" s="283" t="s">
        <v>1001</v>
      </c>
      <c r="C547" s="284">
        <v>220321</v>
      </c>
      <c r="D547" s="284">
        <v>13</v>
      </c>
      <c r="E547" s="128">
        <v>1548</v>
      </c>
      <c r="F547" s="247">
        <v>1752</v>
      </c>
      <c r="G547" s="128"/>
      <c r="H547" s="247"/>
      <c r="I547" s="128"/>
      <c r="J547" s="247"/>
      <c r="K547" s="128"/>
      <c r="L547" s="247"/>
      <c r="M547" s="128"/>
      <c r="N547" s="247"/>
      <c r="O547" s="128"/>
      <c r="P547" s="247"/>
      <c r="Q547" s="128"/>
      <c r="R547" s="247"/>
      <c r="S547" s="128"/>
      <c r="T547" s="247"/>
      <c r="U547" s="128"/>
      <c r="V547" s="247"/>
      <c r="W547" s="128"/>
      <c r="X547" s="247"/>
      <c r="Y547" s="128"/>
      <c r="Z547" s="247"/>
      <c r="AA547" s="128"/>
      <c r="AB547" s="247"/>
      <c r="AC547" s="128"/>
      <c r="AD547" s="247"/>
      <c r="AE547" s="128"/>
      <c r="AF547" s="247"/>
      <c r="AG547" s="128"/>
      <c r="AH547" s="247"/>
      <c r="AI547" s="128"/>
      <c r="AJ547" s="247"/>
      <c r="AK547" s="128"/>
      <c r="AL547" s="247"/>
      <c r="AM547" s="128"/>
      <c r="AN547" s="146"/>
    </row>
    <row r="548" spans="1:40" s="121" customFormat="1" ht="15" customHeight="1">
      <c r="A548" s="283" t="s">
        <v>1035</v>
      </c>
      <c r="B548" s="283" t="s">
        <v>1002</v>
      </c>
      <c r="C548" s="284">
        <v>220394</v>
      </c>
      <c r="D548" s="284">
        <v>13</v>
      </c>
      <c r="E548" s="128">
        <v>1548</v>
      </c>
      <c r="F548" s="247">
        <v>1752</v>
      </c>
      <c r="G548" s="128"/>
      <c r="H548" s="247"/>
      <c r="I548" s="128"/>
      <c r="J548" s="247"/>
      <c r="K548" s="128"/>
      <c r="L548" s="247"/>
      <c r="M548" s="128"/>
      <c r="N548" s="247"/>
      <c r="O548" s="128"/>
      <c r="P548" s="247"/>
      <c r="Q548" s="128"/>
      <c r="R548" s="247"/>
      <c r="S548" s="128"/>
      <c r="T548" s="247"/>
      <c r="U548" s="128"/>
      <c r="V548" s="247"/>
      <c r="W548" s="128"/>
      <c r="X548" s="247"/>
      <c r="Y548" s="128"/>
      <c r="Z548" s="247"/>
      <c r="AA548" s="128"/>
      <c r="AB548" s="247"/>
      <c r="AC548" s="128"/>
      <c r="AD548" s="247"/>
      <c r="AE548" s="128"/>
      <c r="AF548" s="247"/>
      <c r="AG548" s="128"/>
      <c r="AH548" s="247"/>
      <c r="AI548" s="128"/>
      <c r="AJ548" s="247"/>
      <c r="AK548" s="128"/>
      <c r="AL548" s="247"/>
      <c r="AM548" s="128"/>
      <c r="AN548" s="146"/>
    </row>
    <row r="549" spans="1:40" s="121" customFormat="1" ht="15" customHeight="1">
      <c r="A549" s="283" t="s">
        <v>1035</v>
      </c>
      <c r="B549" s="283" t="s">
        <v>1003</v>
      </c>
      <c r="C549" s="284">
        <v>221616</v>
      </c>
      <c r="D549" s="284">
        <v>13</v>
      </c>
      <c r="E549" s="128">
        <v>1548</v>
      </c>
      <c r="F549" s="247">
        <v>1752</v>
      </c>
      <c r="G549" s="128"/>
      <c r="H549" s="247"/>
      <c r="I549" s="128"/>
      <c r="J549" s="247"/>
      <c r="K549" s="128"/>
      <c r="L549" s="247"/>
      <c r="M549" s="128"/>
      <c r="N549" s="247"/>
      <c r="O549" s="128"/>
      <c r="P549" s="247"/>
      <c r="Q549" s="128"/>
      <c r="R549" s="247"/>
      <c r="S549" s="128"/>
      <c r="T549" s="247"/>
      <c r="U549" s="128"/>
      <c r="V549" s="247"/>
      <c r="W549" s="128"/>
      <c r="X549" s="247"/>
      <c r="Y549" s="128"/>
      <c r="Z549" s="247"/>
      <c r="AA549" s="128"/>
      <c r="AB549" s="247"/>
      <c r="AC549" s="128"/>
      <c r="AD549" s="247"/>
      <c r="AE549" s="128"/>
      <c r="AF549" s="247"/>
      <c r="AG549" s="128"/>
      <c r="AH549" s="247"/>
      <c r="AI549" s="128"/>
      <c r="AJ549" s="247"/>
      <c r="AK549" s="128"/>
      <c r="AL549" s="247"/>
      <c r="AM549" s="128"/>
      <c r="AN549" s="146"/>
    </row>
    <row r="550" spans="1:40" s="121" customFormat="1" ht="15" customHeight="1">
      <c r="A550" s="283" t="s">
        <v>1035</v>
      </c>
      <c r="B550" s="283" t="s">
        <v>1004</v>
      </c>
      <c r="C550" s="284">
        <v>221625</v>
      </c>
      <c r="D550" s="284">
        <v>13</v>
      </c>
      <c r="E550" s="128">
        <v>1548</v>
      </c>
      <c r="F550" s="247">
        <v>1752</v>
      </c>
      <c r="G550" s="128"/>
      <c r="H550" s="247"/>
      <c r="I550" s="128"/>
      <c r="J550" s="247"/>
      <c r="K550" s="128"/>
      <c r="L550" s="247"/>
      <c r="M550" s="128"/>
      <c r="N550" s="247"/>
      <c r="O550" s="128"/>
      <c r="P550" s="247"/>
      <c r="Q550" s="128"/>
      <c r="R550" s="247"/>
      <c r="S550" s="128"/>
      <c r="T550" s="247"/>
      <c r="U550" s="128"/>
      <c r="V550" s="247"/>
      <c r="W550" s="128"/>
      <c r="X550" s="247"/>
      <c r="Y550" s="128"/>
      <c r="Z550" s="247"/>
      <c r="AA550" s="128"/>
      <c r="AB550" s="247"/>
      <c r="AC550" s="128"/>
      <c r="AD550" s="247"/>
      <c r="AE550" s="128"/>
      <c r="AF550" s="247"/>
      <c r="AG550" s="128"/>
      <c r="AH550" s="247"/>
      <c r="AI550" s="128"/>
      <c r="AJ550" s="247"/>
      <c r="AK550" s="128"/>
      <c r="AL550" s="247"/>
      <c r="AM550" s="128"/>
      <c r="AN550" s="146"/>
    </row>
    <row r="551" spans="1:40" s="121" customFormat="1" ht="15" customHeight="1">
      <c r="A551" s="283" t="s">
        <v>1035</v>
      </c>
      <c r="B551" s="283" t="s">
        <v>1005</v>
      </c>
      <c r="C551" s="284">
        <v>220640</v>
      </c>
      <c r="D551" s="284">
        <v>13</v>
      </c>
      <c r="E551" s="128">
        <v>1548</v>
      </c>
      <c r="F551" s="247">
        <v>1752</v>
      </c>
      <c r="G551" s="128"/>
      <c r="H551" s="247"/>
      <c r="I551" s="128"/>
      <c r="J551" s="247"/>
      <c r="K551" s="128"/>
      <c r="L551" s="247"/>
      <c r="M551" s="128"/>
      <c r="N551" s="247"/>
      <c r="O551" s="128"/>
      <c r="P551" s="247"/>
      <c r="Q551" s="128"/>
      <c r="R551" s="247"/>
      <c r="S551" s="128"/>
      <c r="T551" s="247"/>
      <c r="U551" s="128"/>
      <c r="V551" s="247"/>
      <c r="W551" s="128"/>
      <c r="X551" s="247"/>
      <c r="Y551" s="128"/>
      <c r="Z551" s="247"/>
      <c r="AA551" s="128"/>
      <c r="AB551" s="247"/>
      <c r="AC551" s="128"/>
      <c r="AD551" s="247"/>
      <c r="AE551" s="128"/>
      <c r="AF551" s="247"/>
      <c r="AG551" s="128"/>
      <c r="AH551" s="247"/>
      <c r="AI551" s="128"/>
      <c r="AJ551" s="247"/>
      <c r="AK551" s="128"/>
      <c r="AL551" s="247"/>
      <c r="AM551" s="128"/>
      <c r="AN551" s="146"/>
    </row>
    <row r="552" spans="1:40" s="121" customFormat="1" ht="15" customHeight="1">
      <c r="A552" s="283" t="s">
        <v>1035</v>
      </c>
      <c r="B552" s="283" t="s">
        <v>1006</v>
      </c>
      <c r="C552" s="284">
        <v>220756</v>
      </c>
      <c r="D552" s="284">
        <v>13</v>
      </c>
      <c r="E552" s="128">
        <v>1548</v>
      </c>
      <c r="F552" s="247">
        <v>1752</v>
      </c>
      <c r="G552" s="128"/>
      <c r="H552" s="247"/>
      <c r="I552" s="128"/>
      <c r="J552" s="247"/>
      <c r="K552" s="128"/>
      <c r="L552" s="247"/>
      <c r="M552" s="128"/>
      <c r="N552" s="247"/>
      <c r="O552" s="128"/>
      <c r="P552" s="247"/>
      <c r="Q552" s="128"/>
      <c r="R552" s="247"/>
      <c r="S552" s="128"/>
      <c r="T552" s="247"/>
      <c r="U552" s="128"/>
      <c r="V552" s="247"/>
      <c r="W552" s="128"/>
      <c r="X552" s="247"/>
      <c r="Y552" s="128"/>
      <c r="Z552" s="247"/>
      <c r="AA552" s="128"/>
      <c r="AB552" s="247"/>
      <c r="AC552" s="128"/>
      <c r="AD552" s="247"/>
      <c r="AE552" s="128"/>
      <c r="AF552" s="247"/>
      <c r="AG552" s="128"/>
      <c r="AH552" s="247"/>
      <c r="AI552" s="128"/>
      <c r="AJ552" s="247"/>
      <c r="AK552" s="128"/>
      <c r="AL552" s="247"/>
      <c r="AM552" s="128"/>
      <c r="AN552" s="146"/>
    </row>
    <row r="553" spans="1:40" s="121" customFormat="1" ht="15" customHeight="1">
      <c r="A553" s="283" t="s">
        <v>1035</v>
      </c>
      <c r="B553" s="283" t="s">
        <v>1007</v>
      </c>
      <c r="C553" s="284">
        <v>221607</v>
      </c>
      <c r="D553" s="284">
        <v>13</v>
      </c>
      <c r="E553" s="128">
        <v>1548</v>
      </c>
      <c r="F553" s="247">
        <v>1752</v>
      </c>
      <c r="G553" s="128"/>
      <c r="H553" s="247"/>
      <c r="I553" s="128"/>
      <c r="J553" s="247"/>
      <c r="K553" s="128"/>
      <c r="L553" s="247"/>
      <c r="M553" s="128"/>
      <c r="N553" s="247"/>
      <c r="O553" s="128"/>
      <c r="P553" s="247"/>
      <c r="Q553" s="128"/>
      <c r="R553" s="247"/>
      <c r="S553" s="128"/>
      <c r="T553" s="247"/>
      <c r="U553" s="128"/>
      <c r="V553" s="247"/>
      <c r="W553" s="128"/>
      <c r="X553" s="247"/>
      <c r="Y553" s="128"/>
      <c r="Z553" s="247"/>
      <c r="AA553" s="128"/>
      <c r="AB553" s="247"/>
      <c r="AC553" s="128"/>
      <c r="AD553" s="247"/>
      <c r="AE553" s="128"/>
      <c r="AF553" s="247"/>
      <c r="AG553" s="128"/>
      <c r="AH553" s="247"/>
      <c r="AI553" s="128"/>
      <c r="AJ553" s="247"/>
      <c r="AK553" s="128"/>
      <c r="AL553" s="247"/>
      <c r="AM553" s="128"/>
      <c r="AN553" s="146"/>
    </row>
    <row r="554" spans="1:40" s="121" customFormat="1" ht="15" customHeight="1">
      <c r="A554" s="283" t="s">
        <v>1035</v>
      </c>
      <c r="B554" s="283" t="s">
        <v>1008</v>
      </c>
      <c r="C554" s="284">
        <v>221050</v>
      </c>
      <c r="D554" s="284">
        <v>13</v>
      </c>
      <c r="E554" s="128">
        <v>1548</v>
      </c>
      <c r="F554" s="247">
        <v>1752</v>
      </c>
      <c r="G554" s="128"/>
      <c r="H554" s="247"/>
      <c r="I554" s="128"/>
      <c r="J554" s="247"/>
      <c r="K554" s="128"/>
      <c r="L554" s="247"/>
      <c r="M554" s="128"/>
      <c r="N554" s="247"/>
      <c r="O554" s="128"/>
      <c r="P554" s="247"/>
      <c r="Q554" s="128"/>
      <c r="R554" s="247"/>
      <c r="S554" s="128"/>
      <c r="T554" s="247"/>
      <c r="U554" s="128"/>
      <c r="V554" s="247"/>
      <c r="W554" s="128"/>
      <c r="X554" s="247"/>
      <c r="Y554" s="128"/>
      <c r="Z554" s="247"/>
      <c r="AA554" s="128"/>
      <c r="AB554" s="247"/>
      <c r="AC554" s="128"/>
      <c r="AD554" s="247"/>
      <c r="AE554" s="128"/>
      <c r="AF554" s="247"/>
      <c r="AG554" s="128"/>
      <c r="AH554" s="247"/>
      <c r="AI554" s="128"/>
      <c r="AJ554" s="247"/>
      <c r="AK554" s="128"/>
      <c r="AL554" s="247"/>
      <c r="AM554" s="128"/>
      <c r="AN554" s="146"/>
    </row>
    <row r="555" spans="1:40" s="121" customFormat="1" ht="15" customHeight="1">
      <c r="A555" s="283" t="s">
        <v>1035</v>
      </c>
      <c r="B555" s="283" t="s">
        <v>1009</v>
      </c>
      <c r="C555" s="284">
        <v>221102</v>
      </c>
      <c r="D555" s="284">
        <v>13</v>
      </c>
      <c r="E555" s="128">
        <v>1548</v>
      </c>
      <c r="F555" s="247">
        <v>1752</v>
      </c>
      <c r="G555" s="128"/>
      <c r="H555" s="247"/>
      <c r="I555" s="128"/>
      <c r="J555" s="247"/>
      <c r="K555" s="128"/>
      <c r="L555" s="247"/>
      <c r="M555" s="128"/>
      <c r="N555" s="247"/>
      <c r="O555" s="128"/>
      <c r="P555" s="247"/>
      <c r="Q555" s="128"/>
      <c r="R555" s="247"/>
      <c r="S555" s="128"/>
      <c r="T555" s="247"/>
      <c r="U555" s="128"/>
      <c r="V555" s="247"/>
      <c r="W555" s="128"/>
      <c r="X555" s="247"/>
      <c r="Y555" s="128"/>
      <c r="Z555" s="247"/>
      <c r="AA555" s="128"/>
      <c r="AB555" s="247"/>
      <c r="AC555" s="128"/>
      <c r="AD555" s="247"/>
      <c r="AE555" s="128"/>
      <c r="AF555" s="247"/>
      <c r="AG555" s="128"/>
      <c r="AH555" s="247"/>
      <c r="AI555" s="128"/>
      <c r="AJ555" s="247"/>
      <c r="AK555" s="128"/>
      <c r="AL555" s="247"/>
      <c r="AM555" s="128"/>
      <c r="AN555" s="146"/>
    </row>
    <row r="556" spans="1:40" s="121" customFormat="1" ht="15" customHeight="1">
      <c r="A556" s="283" t="s">
        <v>1035</v>
      </c>
      <c r="B556" s="283" t="s">
        <v>1010</v>
      </c>
      <c r="C556" s="284">
        <v>248925</v>
      </c>
      <c r="D556" s="284">
        <v>13</v>
      </c>
      <c r="E556" s="128">
        <v>1548</v>
      </c>
      <c r="F556" s="247">
        <v>1752</v>
      </c>
      <c r="G556" s="128"/>
      <c r="H556" s="247"/>
      <c r="I556" s="128"/>
      <c r="J556" s="247"/>
      <c r="K556" s="128"/>
      <c r="L556" s="247"/>
      <c r="M556" s="128"/>
      <c r="N556" s="247"/>
      <c r="O556" s="128"/>
      <c r="P556" s="247"/>
      <c r="Q556" s="128"/>
      <c r="R556" s="247"/>
      <c r="S556" s="128"/>
      <c r="T556" s="247"/>
      <c r="U556" s="128"/>
      <c r="V556" s="247"/>
      <c r="W556" s="128"/>
      <c r="X556" s="247"/>
      <c r="Y556" s="128"/>
      <c r="Z556" s="247"/>
      <c r="AA556" s="128"/>
      <c r="AB556" s="247"/>
      <c r="AC556" s="128"/>
      <c r="AD556" s="247"/>
      <c r="AE556" s="128"/>
      <c r="AF556" s="247"/>
      <c r="AG556" s="128"/>
      <c r="AH556" s="247"/>
      <c r="AI556" s="128"/>
      <c r="AJ556" s="247"/>
      <c r="AK556" s="128"/>
      <c r="AL556" s="247"/>
      <c r="AM556" s="128"/>
      <c r="AN556" s="146"/>
    </row>
    <row r="557" spans="1:40" s="121" customFormat="1" ht="15" customHeight="1">
      <c r="A557" s="283" t="s">
        <v>1035</v>
      </c>
      <c r="B557" s="283" t="s">
        <v>1011</v>
      </c>
      <c r="C557" s="284">
        <v>221236</v>
      </c>
      <c r="D557" s="284">
        <v>13</v>
      </c>
      <c r="E557" s="128">
        <v>1548</v>
      </c>
      <c r="F557" s="247">
        <v>1752</v>
      </c>
      <c r="G557" s="128"/>
      <c r="H557" s="247"/>
      <c r="I557" s="128"/>
      <c r="J557" s="247"/>
      <c r="K557" s="128"/>
      <c r="L557" s="247"/>
      <c r="M557" s="128"/>
      <c r="N557" s="247"/>
      <c r="O557" s="128"/>
      <c r="P557" s="247"/>
      <c r="Q557" s="128"/>
      <c r="R557" s="247"/>
      <c r="S557" s="128"/>
      <c r="T557" s="247"/>
      <c r="U557" s="128"/>
      <c r="V557" s="247"/>
      <c r="W557" s="128"/>
      <c r="X557" s="247"/>
      <c r="Y557" s="128"/>
      <c r="Z557" s="247"/>
      <c r="AA557" s="128"/>
      <c r="AB557" s="247"/>
      <c r="AC557" s="128"/>
      <c r="AD557" s="247"/>
      <c r="AE557" s="128"/>
      <c r="AF557" s="247"/>
      <c r="AG557" s="128"/>
      <c r="AH557" s="247"/>
      <c r="AI557" s="128"/>
      <c r="AJ557" s="247"/>
      <c r="AK557" s="128"/>
      <c r="AL557" s="247"/>
      <c r="AM557" s="128"/>
      <c r="AN557" s="146"/>
    </row>
    <row r="558" spans="1:40" s="121" customFormat="1" ht="15" customHeight="1">
      <c r="A558" s="283" t="s">
        <v>1035</v>
      </c>
      <c r="B558" s="283" t="s">
        <v>1012</v>
      </c>
      <c r="C558" s="284">
        <v>221582</v>
      </c>
      <c r="D558" s="284">
        <v>13</v>
      </c>
      <c r="E558" s="128">
        <v>1548</v>
      </c>
      <c r="F558" s="247">
        <v>1752</v>
      </c>
      <c r="G558" s="128"/>
      <c r="H558" s="247"/>
      <c r="I558" s="128"/>
      <c r="J558" s="247"/>
      <c r="K558" s="128"/>
      <c r="L558" s="247"/>
      <c r="M558" s="128"/>
      <c r="N558" s="247"/>
      <c r="O558" s="128"/>
      <c r="P558" s="247"/>
      <c r="Q558" s="128"/>
      <c r="R558" s="247"/>
      <c r="S558" s="128"/>
      <c r="T558" s="247"/>
      <c r="U558" s="128"/>
      <c r="V558" s="247"/>
      <c r="W558" s="128"/>
      <c r="X558" s="247"/>
      <c r="Y558" s="128"/>
      <c r="Z558" s="247"/>
      <c r="AA558" s="128"/>
      <c r="AB558" s="247"/>
      <c r="AC558" s="128"/>
      <c r="AD558" s="247"/>
      <c r="AE558" s="128"/>
      <c r="AF558" s="247"/>
      <c r="AG558" s="128"/>
      <c r="AH558" s="247"/>
      <c r="AI558" s="128"/>
      <c r="AJ558" s="247"/>
      <c r="AK558" s="128"/>
      <c r="AL558" s="247"/>
      <c r="AM558" s="128"/>
      <c r="AN558" s="146"/>
    </row>
    <row r="559" spans="1:40" s="121" customFormat="1" ht="15" customHeight="1">
      <c r="A559" s="283" t="s">
        <v>1035</v>
      </c>
      <c r="B559" s="283" t="s">
        <v>1013</v>
      </c>
      <c r="C559" s="284">
        <v>221281</v>
      </c>
      <c r="D559" s="284">
        <v>13</v>
      </c>
      <c r="E559" s="128">
        <v>1548</v>
      </c>
      <c r="F559" s="247">
        <v>1752</v>
      </c>
      <c r="G559" s="128"/>
      <c r="H559" s="247"/>
      <c r="I559" s="128"/>
      <c r="J559" s="247"/>
      <c r="K559" s="128"/>
      <c r="L559" s="247"/>
      <c r="M559" s="128"/>
      <c r="N559" s="247"/>
      <c r="O559" s="128"/>
      <c r="P559" s="247"/>
      <c r="Q559" s="128"/>
      <c r="R559" s="247"/>
      <c r="S559" s="128"/>
      <c r="T559" s="247"/>
      <c r="U559" s="128"/>
      <c r="V559" s="247"/>
      <c r="W559" s="128"/>
      <c r="X559" s="247"/>
      <c r="Y559" s="128"/>
      <c r="Z559" s="247"/>
      <c r="AA559" s="128"/>
      <c r="AB559" s="247"/>
      <c r="AC559" s="128"/>
      <c r="AD559" s="247"/>
      <c r="AE559" s="128"/>
      <c r="AF559" s="247"/>
      <c r="AG559" s="128"/>
      <c r="AH559" s="247"/>
      <c r="AI559" s="128"/>
      <c r="AJ559" s="247"/>
      <c r="AK559" s="128"/>
      <c r="AL559" s="247"/>
      <c r="AM559" s="128"/>
      <c r="AN559" s="146"/>
    </row>
    <row r="560" spans="1:40" s="121" customFormat="1" ht="15" customHeight="1">
      <c r="A560" s="283" t="s">
        <v>1035</v>
      </c>
      <c r="B560" s="283" t="s">
        <v>1014</v>
      </c>
      <c r="C560" s="284">
        <v>221333</v>
      </c>
      <c r="D560" s="284">
        <v>13</v>
      </c>
      <c r="E560" s="128">
        <v>1548</v>
      </c>
      <c r="F560" s="247">
        <v>1752</v>
      </c>
      <c r="G560" s="128"/>
      <c r="H560" s="247"/>
      <c r="I560" s="128"/>
      <c r="J560" s="247"/>
      <c r="K560" s="128"/>
      <c r="L560" s="247"/>
      <c r="M560" s="128"/>
      <c r="N560" s="247"/>
      <c r="O560" s="128"/>
      <c r="P560" s="247"/>
      <c r="Q560" s="128"/>
      <c r="R560" s="247"/>
      <c r="S560" s="128"/>
      <c r="T560" s="247"/>
      <c r="U560" s="128"/>
      <c r="V560" s="247"/>
      <c r="W560" s="128"/>
      <c r="X560" s="247"/>
      <c r="Y560" s="128"/>
      <c r="Z560" s="247"/>
      <c r="AA560" s="128"/>
      <c r="AB560" s="247"/>
      <c r="AC560" s="128"/>
      <c r="AD560" s="247"/>
      <c r="AE560" s="128"/>
      <c r="AF560" s="247"/>
      <c r="AG560" s="128"/>
      <c r="AH560" s="247"/>
      <c r="AI560" s="128"/>
      <c r="AJ560" s="247"/>
      <c r="AK560" s="128"/>
      <c r="AL560" s="247"/>
      <c r="AM560" s="128"/>
      <c r="AN560" s="146"/>
    </row>
    <row r="561" spans="1:40" s="121" customFormat="1" ht="15" customHeight="1">
      <c r="A561" s="283" t="s">
        <v>1035</v>
      </c>
      <c r="B561" s="283" t="s">
        <v>1015</v>
      </c>
      <c r="C561" s="284">
        <v>221388</v>
      </c>
      <c r="D561" s="284">
        <v>13</v>
      </c>
      <c r="E561" s="128">
        <v>1548</v>
      </c>
      <c r="F561" s="247">
        <v>1752</v>
      </c>
      <c r="G561" s="128"/>
      <c r="H561" s="247"/>
      <c r="I561" s="128"/>
      <c r="J561" s="247"/>
      <c r="K561" s="128"/>
      <c r="L561" s="247"/>
      <c r="M561" s="128"/>
      <c r="N561" s="247"/>
      <c r="O561" s="128"/>
      <c r="P561" s="247"/>
      <c r="Q561" s="128"/>
      <c r="R561" s="247"/>
      <c r="S561" s="128"/>
      <c r="T561" s="247"/>
      <c r="U561" s="128"/>
      <c r="V561" s="247"/>
      <c r="W561" s="128"/>
      <c r="X561" s="247"/>
      <c r="Y561" s="128"/>
      <c r="Z561" s="247"/>
      <c r="AA561" s="128"/>
      <c r="AB561" s="247"/>
      <c r="AC561" s="128"/>
      <c r="AD561" s="247"/>
      <c r="AE561" s="128"/>
      <c r="AF561" s="247"/>
      <c r="AG561" s="128"/>
      <c r="AH561" s="247"/>
      <c r="AI561" s="128"/>
      <c r="AJ561" s="247"/>
      <c r="AK561" s="128"/>
      <c r="AL561" s="247"/>
      <c r="AM561" s="128"/>
      <c r="AN561" s="146"/>
    </row>
    <row r="562" spans="1:40" s="121" customFormat="1" ht="15" customHeight="1">
      <c r="A562" s="283" t="s">
        <v>1035</v>
      </c>
      <c r="B562" s="283" t="s">
        <v>1016</v>
      </c>
      <c r="C562" s="284">
        <v>221494</v>
      </c>
      <c r="D562" s="284">
        <v>13</v>
      </c>
      <c r="E562" s="128">
        <v>1548</v>
      </c>
      <c r="F562" s="247">
        <v>1752</v>
      </c>
      <c r="G562" s="128"/>
      <c r="H562" s="247"/>
      <c r="I562" s="128"/>
      <c r="J562" s="247"/>
      <c r="K562" s="128"/>
      <c r="L562" s="247"/>
      <c r="M562" s="128"/>
      <c r="N562" s="247"/>
      <c r="O562" s="128"/>
      <c r="P562" s="247"/>
      <c r="Q562" s="128"/>
      <c r="R562" s="247"/>
      <c r="S562" s="128"/>
      <c r="T562" s="247"/>
      <c r="U562" s="128"/>
      <c r="V562" s="247"/>
      <c r="W562" s="128"/>
      <c r="X562" s="247"/>
      <c r="Y562" s="128"/>
      <c r="Z562" s="247"/>
      <c r="AA562" s="128"/>
      <c r="AB562" s="247"/>
      <c r="AC562" s="128"/>
      <c r="AD562" s="247"/>
      <c r="AE562" s="128"/>
      <c r="AF562" s="247"/>
      <c r="AG562" s="128"/>
      <c r="AH562" s="247"/>
      <c r="AI562" s="128"/>
      <c r="AJ562" s="247"/>
      <c r="AK562" s="128"/>
      <c r="AL562" s="247"/>
      <c r="AM562" s="128"/>
      <c r="AN562" s="146"/>
    </row>
    <row r="563" spans="1:40" s="121" customFormat="1" ht="15" customHeight="1">
      <c r="A563" s="283" t="s">
        <v>1035</v>
      </c>
      <c r="B563" s="283" t="s">
        <v>39</v>
      </c>
      <c r="C563" s="284">
        <v>221634</v>
      </c>
      <c r="D563" s="284">
        <v>13</v>
      </c>
      <c r="E563" s="128">
        <v>1548</v>
      </c>
      <c r="F563" s="247">
        <v>1752</v>
      </c>
      <c r="G563" s="128"/>
      <c r="H563" s="247"/>
      <c r="I563" s="128"/>
      <c r="J563" s="247"/>
      <c r="K563" s="128"/>
      <c r="L563" s="247"/>
      <c r="M563" s="128"/>
      <c r="N563" s="247"/>
      <c r="O563" s="128"/>
      <c r="P563" s="247"/>
      <c r="Q563" s="128"/>
      <c r="R563" s="247"/>
      <c r="S563" s="128"/>
      <c r="T563" s="247"/>
      <c r="U563" s="128"/>
      <c r="V563" s="247"/>
      <c r="W563" s="128"/>
      <c r="X563" s="247"/>
      <c r="Y563" s="128"/>
      <c r="Z563" s="247"/>
      <c r="AA563" s="128"/>
      <c r="AB563" s="247"/>
      <c r="AC563" s="128"/>
      <c r="AD563" s="247"/>
      <c r="AE563" s="128"/>
      <c r="AF563" s="247"/>
      <c r="AG563" s="128"/>
      <c r="AH563" s="247"/>
      <c r="AI563" s="128"/>
      <c r="AJ563" s="247"/>
      <c r="AK563" s="128"/>
      <c r="AL563" s="247"/>
      <c r="AM563" s="128"/>
      <c r="AN563" s="146"/>
    </row>
    <row r="564" spans="1:40" s="121" customFormat="1" ht="15" customHeight="1">
      <c r="A564" s="283" t="s">
        <v>1035</v>
      </c>
      <c r="B564" s="285" t="s">
        <v>664</v>
      </c>
      <c r="C564" s="284">
        <v>221704</v>
      </c>
      <c r="D564" s="284">
        <v>15</v>
      </c>
      <c r="E564" s="128"/>
      <c r="F564" s="247"/>
      <c r="G564" s="128"/>
      <c r="H564" s="247"/>
      <c r="I564" s="128"/>
      <c r="J564" s="247"/>
      <c r="K564" s="128"/>
      <c r="L564" s="247"/>
      <c r="M564" s="128"/>
      <c r="N564" s="247"/>
      <c r="O564" s="128"/>
      <c r="P564" s="247"/>
      <c r="Q564" s="128">
        <v>16048</v>
      </c>
      <c r="R564" s="247">
        <v>16529</v>
      </c>
      <c r="S564" s="128">
        <v>31962</v>
      </c>
      <c r="T564" s="247">
        <v>32921</v>
      </c>
      <c r="U564" s="128">
        <v>12126</v>
      </c>
      <c r="V564" s="247">
        <v>12975</v>
      </c>
      <c r="W564" s="128">
        <v>29756</v>
      </c>
      <c r="X564" s="247">
        <v>31134</v>
      </c>
      <c r="Y564" s="128">
        <v>9567</v>
      </c>
      <c r="Z564" s="247">
        <v>10237</v>
      </c>
      <c r="AA564" s="128">
        <v>21350</v>
      </c>
      <c r="AB564" s="247">
        <v>22373</v>
      </c>
      <c r="AC564" s="128"/>
      <c r="AD564" s="247"/>
      <c r="AE564" s="128"/>
      <c r="AF564" s="247"/>
      <c r="AG564" s="128"/>
      <c r="AH564" s="247"/>
      <c r="AI564" s="128"/>
      <c r="AJ564" s="247"/>
      <c r="AK564" s="128">
        <v>8902</v>
      </c>
      <c r="AL564" s="247">
        <v>10175</v>
      </c>
      <c r="AM564" s="128">
        <v>24778</v>
      </c>
      <c r="AN564" s="146">
        <v>28395</v>
      </c>
    </row>
    <row r="565" spans="1:40" s="121" customFormat="1" ht="15" customHeight="1">
      <c r="A565" s="125" t="s">
        <v>1036</v>
      </c>
      <c r="B565" s="125" t="s">
        <v>804</v>
      </c>
      <c r="C565" s="349">
        <v>228723</v>
      </c>
      <c r="D565" s="127">
        <v>1</v>
      </c>
      <c r="E565" s="128">
        <v>5169.64</v>
      </c>
      <c r="F565" s="247">
        <v>5948</v>
      </c>
      <c r="G565" s="128">
        <v>10341</v>
      </c>
      <c r="H565" s="247">
        <v>12863</v>
      </c>
      <c r="I565" s="128">
        <v>4998</v>
      </c>
      <c r="J565" s="247">
        <v>6205.2</v>
      </c>
      <c r="K565" s="128">
        <v>10662</v>
      </c>
      <c r="L565" s="247">
        <v>13549.2</v>
      </c>
      <c r="M565" s="128"/>
      <c r="N565" s="247"/>
      <c r="O565" s="128"/>
      <c r="P565" s="247"/>
      <c r="Q565" s="128"/>
      <c r="R565" s="247"/>
      <c r="S565" s="128"/>
      <c r="T565" s="247"/>
      <c r="U565" s="128"/>
      <c r="V565" s="247"/>
      <c r="W565" s="128"/>
      <c r="X565" s="247"/>
      <c r="Y565" s="128"/>
      <c r="Z565" s="247"/>
      <c r="AA565" s="128"/>
      <c r="AB565" s="247"/>
      <c r="AC565" s="128"/>
      <c r="AD565" s="247"/>
      <c r="AE565" s="128"/>
      <c r="AF565" s="247"/>
      <c r="AG565" s="128"/>
      <c r="AH565" s="247"/>
      <c r="AI565" s="128"/>
      <c r="AJ565" s="247"/>
      <c r="AK565" s="128">
        <v>10235</v>
      </c>
      <c r="AL565" s="247">
        <v>11714</v>
      </c>
      <c r="AM565" s="128">
        <v>21035</v>
      </c>
      <c r="AN565" s="146">
        <v>22514</v>
      </c>
    </row>
    <row r="566" spans="1:40" s="121" customFormat="1" ht="15" customHeight="1">
      <c r="A566" s="125" t="s">
        <v>1036</v>
      </c>
      <c r="B566" s="125" t="s">
        <v>805</v>
      </c>
      <c r="C566" s="349">
        <v>229115</v>
      </c>
      <c r="D566" s="127">
        <v>1</v>
      </c>
      <c r="E566" s="128">
        <v>5045</v>
      </c>
      <c r="F566" s="247">
        <v>5848</v>
      </c>
      <c r="G566" s="128">
        <v>10739</v>
      </c>
      <c r="H566" s="247">
        <v>14431.5</v>
      </c>
      <c r="I566" s="128">
        <v>3914</v>
      </c>
      <c r="J566" s="247">
        <v>4245.6</v>
      </c>
      <c r="K566" s="128">
        <v>8474</v>
      </c>
      <c r="L566" s="247">
        <v>9300</v>
      </c>
      <c r="M566" s="128">
        <v>10685</v>
      </c>
      <c r="N566" s="247">
        <v>12908</v>
      </c>
      <c r="O566" s="128">
        <v>16325</v>
      </c>
      <c r="P566" s="247">
        <v>18688</v>
      </c>
      <c r="Q566" s="128"/>
      <c r="R566" s="247"/>
      <c r="S566" s="128"/>
      <c r="T566" s="247"/>
      <c r="U566" s="128"/>
      <c r="V566" s="247"/>
      <c r="W566" s="128"/>
      <c r="X566" s="247"/>
      <c r="Y566" s="128"/>
      <c r="Z566" s="247"/>
      <c r="AA566" s="128"/>
      <c r="AB566" s="247"/>
      <c r="AC566" s="128"/>
      <c r="AD566" s="247"/>
      <c r="AE566" s="128"/>
      <c r="AF566" s="247"/>
      <c r="AG566" s="128"/>
      <c r="AH566" s="247"/>
      <c r="AI566" s="128"/>
      <c r="AJ566" s="247"/>
      <c r="AK566" s="128"/>
      <c r="AL566" s="247"/>
      <c r="AM566" s="128"/>
      <c r="AN566" s="146"/>
    </row>
    <row r="567" spans="1:40" s="121" customFormat="1" ht="15" customHeight="1">
      <c r="A567" s="125" t="s">
        <v>1036</v>
      </c>
      <c r="B567" s="125" t="s">
        <v>806</v>
      </c>
      <c r="C567" s="349">
        <v>225511</v>
      </c>
      <c r="D567" s="127">
        <v>1</v>
      </c>
      <c r="E567" s="128">
        <v>4518</v>
      </c>
      <c r="F567" s="247">
        <v>4973</v>
      </c>
      <c r="G567" s="128">
        <v>10615</v>
      </c>
      <c r="H567" s="247">
        <v>15807</v>
      </c>
      <c r="I567" s="128">
        <v>5308</v>
      </c>
      <c r="J567" s="247">
        <v>6746.4</v>
      </c>
      <c r="K567" s="128">
        <v>9754</v>
      </c>
      <c r="L567" s="247">
        <v>12938.4</v>
      </c>
      <c r="M567" s="128">
        <v>9992</v>
      </c>
      <c r="N567" s="247">
        <v>10734</v>
      </c>
      <c r="O567" s="128">
        <v>14840</v>
      </c>
      <c r="P567" s="247">
        <v>17514</v>
      </c>
      <c r="Q567" s="128"/>
      <c r="R567" s="247"/>
      <c r="S567" s="128"/>
      <c r="T567" s="247"/>
      <c r="U567" s="128"/>
      <c r="V567" s="247"/>
      <c r="W567" s="128"/>
      <c r="X567" s="247"/>
      <c r="Y567" s="128">
        <v>6210</v>
      </c>
      <c r="Z567" s="247">
        <v>7042</v>
      </c>
      <c r="AA567" s="128">
        <v>13455</v>
      </c>
      <c r="AB567" s="247">
        <v>12202</v>
      </c>
      <c r="AC567" s="128">
        <v>10844</v>
      </c>
      <c r="AD567" s="247">
        <v>9294</v>
      </c>
      <c r="AE567" s="128">
        <v>20284</v>
      </c>
      <c r="AF567" s="247">
        <v>17034</v>
      </c>
      <c r="AG567" s="128"/>
      <c r="AH567" s="247"/>
      <c r="AI567" s="128"/>
      <c r="AJ567" s="247"/>
      <c r="AK567" s="128"/>
      <c r="AL567" s="247"/>
      <c r="AM567" s="128"/>
      <c r="AN567" s="146"/>
    </row>
    <row r="568" spans="1:40" s="121" customFormat="1" ht="15" customHeight="1">
      <c r="A568" s="125" t="s">
        <v>1036</v>
      </c>
      <c r="B568" s="125" t="s">
        <v>807</v>
      </c>
      <c r="C568" s="349">
        <v>227216</v>
      </c>
      <c r="D568" s="127">
        <v>1</v>
      </c>
      <c r="E568" s="128">
        <v>4848.1</v>
      </c>
      <c r="F568" s="247">
        <v>5850</v>
      </c>
      <c r="G568" s="128">
        <v>10532</v>
      </c>
      <c r="H568" s="247">
        <v>13600</v>
      </c>
      <c r="I568" s="128">
        <v>3927</v>
      </c>
      <c r="J568" s="247">
        <v>5880</v>
      </c>
      <c r="K568" s="128">
        <v>9675</v>
      </c>
      <c r="L568" s="247">
        <v>12060</v>
      </c>
      <c r="M568" s="128"/>
      <c r="N568" s="247"/>
      <c r="O568" s="128"/>
      <c r="P568" s="247"/>
      <c r="Q568" s="128"/>
      <c r="R568" s="247"/>
      <c r="S568" s="128"/>
      <c r="T568" s="247"/>
      <c r="U568" s="128"/>
      <c r="V568" s="247"/>
      <c r="W568" s="128"/>
      <c r="X568" s="247"/>
      <c r="Y568" s="128"/>
      <c r="Z568" s="247"/>
      <c r="AA568" s="128"/>
      <c r="AB568" s="247"/>
      <c r="AC568" s="128"/>
      <c r="AD568" s="247"/>
      <c r="AE568" s="128"/>
      <c r="AF568" s="247"/>
      <c r="AG568" s="128"/>
      <c r="AH568" s="247"/>
      <c r="AI568" s="128"/>
      <c r="AJ568" s="247"/>
      <c r="AK568" s="128"/>
      <c r="AL568" s="247"/>
      <c r="AM568" s="128"/>
      <c r="AN568" s="146"/>
    </row>
    <row r="569" spans="1:40" s="121" customFormat="1" ht="15" customHeight="1">
      <c r="A569" s="125" t="s">
        <v>1036</v>
      </c>
      <c r="B569" s="125" t="s">
        <v>808</v>
      </c>
      <c r="C569" s="349">
        <v>228778</v>
      </c>
      <c r="D569" s="127">
        <v>1</v>
      </c>
      <c r="E569" s="128">
        <v>4911.6</v>
      </c>
      <c r="F569" s="247">
        <v>5735</v>
      </c>
      <c r="G569" s="128">
        <v>10117</v>
      </c>
      <c r="H569" s="247">
        <v>13634</v>
      </c>
      <c r="I569" s="128">
        <v>3596</v>
      </c>
      <c r="J569" s="247">
        <v>6436.8</v>
      </c>
      <c r="K569" s="128">
        <v>9260</v>
      </c>
      <c r="L569" s="247">
        <v>12820.8</v>
      </c>
      <c r="M569" s="128">
        <v>8580</v>
      </c>
      <c r="N569" s="247">
        <v>12922</v>
      </c>
      <c r="O569" s="128">
        <v>18840</v>
      </c>
      <c r="P569" s="247">
        <v>19304</v>
      </c>
      <c r="Q569" s="128"/>
      <c r="R569" s="247"/>
      <c r="S569" s="128"/>
      <c r="T569" s="247"/>
      <c r="U569" s="128"/>
      <c r="V569" s="247"/>
      <c r="W569" s="128"/>
      <c r="X569" s="247"/>
      <c r="Y569" s="128">
        <v>5682</v>
      </c>
      <c r="Z569" s="247">
        <v>8068</v>
      </c>
      <c r="AA569" s="128">
        <v>17010</v>
      </c>
      <c r="AB569" s="247">
        <v>22060</v>
      </c>
      <c r="AC569" s="128"/>
      <c r="AD569" s="247"/>
      <c r="AE569" s="128"/>
      <c r="AF569" s="247"/>
      <c r="AG569" s="128"/>
      <c r="AH569" s="247"/>
      <c r="AI569" s="128"/>
      <c r="AJ569" s="247"/>
      <c r="AK569" s="128"/>
      <c r="AL569" s="247"/>
      <c r="AM569" s="128"/>
      <c r="AN569" s="146"/>
    </row>
    <row r="570" spans="1:40" s="121" customFormat="1" ht="15" customHeight="1">
      <c r="A570" s="125" t="s">
        <v>1036</v>
      </c>
      <c r="B570" s="125" t="s">
        <v>809</v>
      </c>
      <c r="C570" s="349">
        <v>229179</v>
      </c>
      <c r="D570" s="127">
        <v>2</v>
      </c>
      <c r="E570" s="128">
        <v>4085.82</v>
      </c>
      <c r="F570" s="247">
        <v>4169</v>
      </c>
      <c r="G570" s="128">
        <v>10476</v>
      </c>
      <c r="H570" s="247">
        <v>12120</v>
      </c>
      <c r="I570" s="128">
        <v>3229</v>
      </c>
      <c r="J570" s="247">
        <v>4297.2</v>
      </c>
      <c r="K570" s="128">
        <v>8893</v>
      </c>
      <c r="L570" s="247">
        <v>10489.2</v>
      </c>
      <c r="M570" s="128"/>
      <c r="N570" s="247"/>
      <c r="O570" s="128"/>
      <c r="P570" s="247"/>
      <c r="Q570" s="128"/>
      <c r="R570" s="247"/>
      <c r="S570" s="128"/>
      <c r="T570" s="247"/>
      <c r="U570" s="128"/>
      <c r="V570" s="247"/>
      <c r="W570" s="128"/>
      <c r="X570" s="247"/>
      <c r="Y570" s="128"/>
      <c r="Z570" s="247"/>
      <c r="AA570" s="128"/>
      <c r="AB570" s="247"/>
      <c r="AC570" s="128"/>
      <c r="AD570" s="247"/>
      <c r="AE570" s="128"/>
      <c r="AF570" s="247"/>
      <c r="AG570" s="128"/>
      <c r="AH570" s="247"/>
      <c r="AI570" s="128"/>
      <c r="AJ570" s="247"/>
      <c r="AK570" s="128"/>
      <c r="AL570" s="247"/>
      <c r="AM570" s="128"/>
      <c r="AN570" s="146"/>
    </row>
    <row r="571" spans="1:40" s="121" customFormat="1" ht="15" customHeight="1">
      <c r="A571" s="125" t="s">
        <v>1036</v>
      </c>
      <c r="B571" s="125" t="s">
        <v>810</v>
      </c>
      <c r="C571" s="349">
        <v>228769</v>
      </c>
      <c r="D571" s="127">
        <v>2</v>
      </c>
      <c r="E571" s="128">
        <v>4723.4</v>
      </c>
      <c r="F571" s="247">
        <v>5300</v>
      </c>
      <c r="G571" s="128">
        <v>10948</v>
      </c>
      <c r="H571" s="247">
        <v>14070</v>
      </c>
      <c r="I571" s="128">
        <v>4390</v>
      </c>
      <c r="J571" s="247">
        <v>5104.8</v>
      </c>
      <c r="K571" s="128">
        <v>10018</v>
      </c>
      <c r="L571" s="247">
        <v>13118.4</v>
      </c>
      <c r="M571" s="128"/>
      <c r="N571" s="247"/>
      <c r="O571" s="128"/>
      <c r="P571" s="247"/>
      <c r="Q571" s="128"/>
      <c r="R571" s="247"/>
      <c r="S571" s="128"/>
      <c r="T571" s="247"/>
      <c r="U571" s="128"/>
      <c r="V571" s="247"/>
      <c r="W571" s="128"/>
      <c r="X571" s="247"/>
      <c r="Y571" s="128"/>
      <c r="Z571" s="247"/>
      <c r="AA571" s="128"/>
      <c r="AB571" s="247"/>
      <c r="AC571" s="128"/>
      <c r="AD571" s="247"/>
      <c r="AE571" s="128"/>
      <c r="AF571" s="247"/>
      <c r="AG571" s="128"/>
      <c r="AH571" s="247"/>
      <c r="AI571" s="128"/>
      <c r="AJ571" s="247"/>
      <c r="AK571" s="128"/>
      <c r="AL571" s="247"/>
      <c r="AM571" s="128"/>
      <c r="AN571" s="146"/>
    </row>
    <row r="572" spans="1:40" s="121" customFormat="1" ht="15" customHeight="1">
      <c r="A572" s="125" t="s">
        <v>1036</v>
      </c>
      <c r="B572" s="125" t="s">
        <v>811</v>
      </c>
      <c r="C572" s="349">
        <v>228787</v>
      </c>
      <c r="D572" s="127">
        <v>2</v>
      </c>
      <c r="E572" s="128">
        <v>5642.8</v>
      </c>
      <c r="F572" s="247">
        <v>6363</v>
      </c>
      <c r="G572" s="128">
        <v>14716</v>
      </c>
      <c r="H572" s="247">
        <v>15108</v>
      </c>
      <c r="I572" s="128">
        <v>4963</v>
      </c>
      <c r="J572" s="247">
        <v>6207.6</v>
      </c>
      <c r="K572" s="128">
        <v>10939</v>
      </c>
      <c r="L572" s="247">
        <v>12783.6</v>
      </c>
      <c r="M572" s="128"/>
      <c r="N572" s="247"/>
      <c r="O572" s="128"/>
      <c r="P572" s="247"/>
      <c r="Q572" s="128"/>
      <c r="R572" s="247"/>
      <c r="S572" s="128"/>
      <c r="T572" s="247"/>
      <c r="U572" s="128"/>
      <c r="V572" s="247"/>
      <c r="W572" s="128"/>
      <c r="X572" s="247"/>
      <c r="Y572" s="128"/>
      <c r="Z572" s="247"/>
      <c r="AA572" s="128"/>
      <c r="AB572" s="247"/>
      <c r="AC572" s="128"/>
      <c r="AD572" s="247"/>
      <c r="AE572" s="128"/>
      <c r="AF572" s="247"/>
      <c r="AG572" s="128"/>
      <c r="AH572" s="247"/>
      <c r="AI572" s="128"/>
      <c r="AJ572" s="247"/>
      <c r="AK572" s="128"/>
      <c r="AL572" s="247"/>
      <c r="AM572" s="128"/>
      <c r="AN572" s="146"/>
    </row>
    <row r="573" spans="1:40" s="121" customFormat="1" ht="15" customHeight="1">
      <c r="A573" s="125" t="s">
        <v>1036</v>
      </c>
      <c r="B573" s="125" t="s">
        <v>812</v>
      </c>
      <c r="C573" s="349">
        <v>222831</v>
      </c>
      <c r="D573" s="127">
        <v>3</v>
      </c>
      <c r="E573" s="128">
        <v>3506</v>
      </c>
      <c r="F573" s="247">
        <v>3778</v>
      </c>
      <c r="G573" s="128">
        <v>9906</v>
      </c>
      <c r="H573" s="247">
        <v>12902</v>
      </c>
      <c r="I573" s="128">
        <v>2798</v>
      </c>
      <c r="J573" s="247">
        <v>3828</v>
      </c>
      <c r="K573" s="128">
        <v>8942</v>
      </c>
      <c r="L573" s="247">
        <v>10020</v>
      </c>
      <c r="M573" s="128"/>
      <c r="N573" s="247"/>
      <c r="O573" s="128"/>
      <c r="P573" s="247"/>
      <c r="Q573" s="128"/>
      <c r="R573" s="247"/>
      <c r="S573" s="128"/>
      <c r="T573" s="247"/>
      <c r="U573" s="128"/>
      <c r="V573" s="247"/>
      <c r="W573" s="128"/>
      <c r="X573" s="247"/>
      <c r="Y573" s="128"/>
      <c r="Z573" s="247"/>
      <c r="AA573" s="128"/>
      <c r="AB573" s="247"/>
      <c r="AC573" s="128"/>
      <c r="AD573" s="247"/>
      <c r="AE573" s="128"/>
      <c r="AF573" s="247"/>
      <c r="AG573" s="128"/>
      <c r="AH573" s="247"/>
      <c r="AI573" s="128"/>
      <c r="AJ573" s="247"/>
      <c r="AK573" s="128"/>
      <c r="AL573" s="247"/>
      <c r="AM573" s="128"/>
      <c r="AN573" s="146"/>
    </row>
    <row r="574" spans="1:40" s="121" customFormat="1" ht="15" customHeight="1">
      <c r="A574" s="125" t="s">
        <v>1036</v>
      </c>
      <c r="B574" s="125" t="s">
        <v>813</v>
      </c>
      <c r="C574" s="349">
        <v>226091</v>
      </c>
      <c r="D574" s="127">
        <v>3</v>
      </c>
      <c r="E574" s="128">
        <v>3634</v>
      </c>
      <c r="F574" s="247">
        <v>3934</v>
      </c>
      <c r="G574" s="128">
        <v>9864</v>
      </c>
      <c r="H574" s="247">
        <v>11949</v>
      </c>
      <c r="I574" s="128">
        <v>2256</v>
      </c>
      <c r="J574" s="247">
        <v>4162.8</v>
      </c>
      <c r="K574" s="128">
        <v>7920</v>
      </c>
      <c r="L574" s="247">
        <v>10354.8</v>
      </c>
      <c r="M574" s="128"/>
      <c r="N574" s="247"/>
      <c r="O574" s="128"/>
      <c r="P574" s="247"/>
      <c r="Q574" s="128"/>
      <c r="R574" s="247"/>
      <c r="S574" s="128"/>
      <c r="T574" s="247"/>
      <c r="U574" s="128"/>
      <c r="V574" s="247"/>
      <c r="W574" s="128"/>
      <c r="X574" s="247"/>
      <c r="Y574" s="128"/>
      <c r="Z574" s="247"/>
      <c r="AA574" s="128"/>
      <c r="AB574" s="247"/>
      <c r="AC574" s="128"/>
      <c r="AD574" s="247"/>
      <c r="AE574" s="128"/>
      <c r="AF574" s="247"/>
      <c r="AG574" s="128"/>
      <c r="AH574" s="247"/>
      <c r="AI574" s="128"/>
      <c r="AJ574" s="247"/>
      <c r="AK574" s="128"/>
      <c r="AL574" s="247"/>
      <c r="AM574" s="128"/>
      <c r="AN574" s="146"/>
    </row>
    <row r="575" spans="1:40" s="121" customFormat="1" ht="15" customHeight="1">
      <c r="A575" s="125" t="s">
        <v>1036</v>
      </c>
      <c r="B575" s="125" t="s">
        <v>814</v>
      </c>
      <c r="C575" s="349">
        <v>226833</v>
      </c>
      <c r="D575" s="127">
        <v>3</v>
      </c>
      <c r="E575" s="128">
        <v>3650.5</v>
      </c>
      <c r="F575" s="247">
        <v>4182</v>
      </c>
      <c r="G575" s="128">
        <v>10080</v>
      </c>
      <c r="H575" s="247">
        <v>11922</v>
      </c>
      <c r="I575" s="128">
        <v>3156</v>
      </c>
      <c r="J575" s="247">
        <v>4017.6</v>
      </c>
      <c r="K575" s="128">
        <v>8100</v>
      </c>
      <c r="L575" s="247">
        <v>10209.6</v>
      </c>
      <c r="M575" s="128"/>
      <c r="N575" s="247"/>
      <c r="O575" s="128"/>
      <c r="P575" s="247"/>
      <c r="Q575" s="128"/>
      <c r="R575" s="247"/>
      <c r="S575" s="128"/>
      <c r="T575" s="247"/>
      <c r="U575" s="128"/>
      <c r="V575" s="247"/>
      <c r="W575" s="128"/>
      <c r="X575" s="247"/>
      <c r="Y575" s="128"/>
      <c r="Z575" s="247"/>
      <c r="AA575" s="128"/>
      <c r="AB575" s="247"/>
      <c r="AC575" s="128"/>
      <c r="AD575" s="247"/>
      <c r="AE575" s="128"/>
      <c r="AF575" s="247"/>
      <c r="AG575" s="128"/>
      <c r="AH575" s="247"/>
      <c r="AI575" s="128"/>
      <c r="AJ575" s="247"/>
      <c r="AK575" s="128"/>
      <c r="AL575" s="247"/>
      <c r="AM575" s="128"/>
      <c r="AN575" s="146"/>
    </row>
    <row r="576" spans="1:40" s="121" customFormat="1" ht="15" customHeight="1">
      <c r="A576" s="125" t="s">
        <v>1036</v>
      </c>
      <c r="B576" s="125" t="s">
        <v>225</v>
      </c>
      <c r="C576" s="349">
        <v>227526</v>
      </c>
      <c r="D576" s="127">
        <v>3</v>
      </c>
      <c r="E576" s="128">
        <v>3592</v>
      </c>
      <c r="F576" s="247">
        <v>4202</v>
      </c>
      <c r="G576" s="128">
        <v>9890</v>
      </c>
      <c r="H576" s="247">
        <v>11942</v>
      </c>
      <c r="I576" s="128">
        <v>2414</v>
      </c>
      <c r="J576" s="247">
        <v>3842.4</v>
      </c>
      <c r="K576" s="128">
        <v>8846</v>
      </c>
      <c r="L576" s="247">
        <v>10034.4</v>
      </c>
      <c r="M576" s="128"/>
      <c r="N576" s="247"/>
      <c r="O576" s="128"/>
      <c r="P576" s="247"/>
      <c r="Q576" s="128"/>
      <c r="R576" s="247"/>
      <c r="S576" s="128"/>
      <c r="T576" s="247"/>
      <c r="U576" s="128"/>
      <c r="V576" s="247"/>
      <c r="W576" s="128"/>
      <c r="X576" s="247"/>
      <c r="Y576" s="128"/>
      <c r="Z576" s="247"/>
      <c r="AA576" s="128"/>
      <c r="AB576" s="247"/>
      <c r="AC576" s="128"/>
      <c r="AD576" s="247"/>
      <c r="AE576" s="128"/>
      <c r="AF576" s="247"/>
      <c r="AG576" s="128"/>
      <c r="AH576" s="247"/>
      <c r="AI576" s="128"/>
      <c r="AJ576" s="247"/>
      <c r="AK576" s="128"/>
      <c r="AL576" s="247"/>
      <c r="AM576" s="128"/>
      <c r="AN576" s="146"/>
    </row>
    <row r="577" spans="1:40" s="121" customFormat="1" ht="15" customHeight="1">
      <c r="A577" s="125" t="s">
        <v>1036</v>
      </c>
      <c r="B577" s="125" t="s">
        <v>226</v>
      </c>
      <c r="C577" s="349">
        <v>227881</v>
      </c>
      <c r="D577" s="127">
        <v>3</v>
      </c>
      <c r="E577" s="128">
        <v>3862</v>
      </c>
      <c r="F577" s="247">
        <v>4260</v>
      </c>
      <c r="G577" s="128">
        <v>10243</v>
      </c>
      <c r="H577" s="247">
        <v>12032</v>
      </c>
      <c r="I577" s="128">
        <v>2822</v>
      </c>
      <c r="J577" s="247">
        <v>4310.4</v>
      </c>
      <c r="K577" s="128">
        <v>8222</v>
      </c>
      <c r="L577" s="247">
        <v>10502.4</v>
      </c>
      <c r="M577" s="128"/>
      <c r="N577" s="247"/>
      <c r="O577" s="128"/>
      <c r="P577" s="247"/>
      <c r="Q577" s="128"/>
      <c r="R577" s="247"/>
      <c r="S577" s="128"/>
      <c r="T577" s="247"/>
      <c r="U577" s="128"/>
      <c r="V577" s="247"/>
      <c r="W577" s="128"/>
      <c r="X577" s="247"/>
      <c r="Y577" s="128"/>
      <c r="Z577" s="247"/>
      <c r="AA577" s="128"/>
      <c r="AB577" s="247"/>
      <c r="AC577" s="128"/>
      <c r="AD577" s="247"/>
      <c r="AE577" s="128"/>
      <c r="AF577" s="247"/>
      <c r="AG577" s="128"/>
      <c r="AH577" s="247"/>
      <c r="AI577" s="128"/>
      <c r="AJ577" s="247"/>
      <c r="AK577" s="128"/>
      <c r="AL577" s="247"/>
      <c r="AM577" s="128"/>
      <c r="AN577" s="146"/>
    </row>
    <row r="578" spans="1:40" s="121" customFormat="1" ht="15" customHeight="1">
      <c r="A578" s="125" t="s">
        <v>1036</v>
      </c>
      <c r="B578" s="125" t="s">
        <v>227</v>
      </c>
      <c r="C578" s="349">
        <v>228431</v>
      </c>
      <c r="D578" s="127">
        <v>3</v>
      </c>
      <c r="E578" s="128">
        <v>3743</v>
      </c>
      <c r="F578" s="247">
        <v>4298</v>
      </c>
      <c r="G578" s="128">
        <v>10071</v>
      </c>
      <c r="H578" s="247">
        <v>12024</v>
      </c>
      <c r="I578" s="128">
        <v>2362</v>
      </c>
      <c r="J578" s="247">
        <v>3993.6</v>
      </c>
      <c r="K578" s="128">
        <v>9070</v>
      </c>
      <c r="L578" s="247">
        <v>10185.6</v>
      </c>
      <c r="M578" s="128"/>
      <c r="N578" s="247"/>
      <c r="O578" s="128"/>
      <c r="P578" s="247"/>
      <c r="Q578" s="128"/>
      <c r="R578" s="247"/>
      <c r="S578" s="128"/>
      <c r="T578" s="247"/>
      <c r="U578" s="128"/>
      <c r="V578" s="247"/>
      <c r="W578" s="128"/>
      <c r="X578" s="247"/>
      <c r="Y578" s="128"/>
      <c r="Z578" s="247"/>
      <c r="AA578" s="128"/>
      <c r="AB578" s="247"/>
      <c r="AC578" s="128"/>
      <c r="AD578" s="247"/>
      <c r="AE578" s="128"/>
      <c r="AF578" s="247"/>
      <c r="AG578" s="128"/>
      <c r="AH578" s="247"/>
      <c r="AI578" s="128"/>
      <c r="AJ578" s="247"/>
      <c r="AK578" s="128"/>
      <c r="AL578" s="247"/>
      <c r="AM578" s="128"/>
      <c r="AN578" s="146"/>
    </row>
    <row r="579" spans="1:40" s="121" customFormat="1" ht="15" customHeight="1">
      <c r="A579" s="125" t="s">
        <v>1036</v>
      </c>
      <c r="B579" s="125" t="s">
        <v>228</v>
      </c>
      <c r="C579" s="349">
        <v>228501</v>
      </c>
      <c r="D579" s="127">
        <v>3</v>
      </c>
      <c r="E579" s="128">
        <v>3522</v>
      </c>
      <c r="F579" s="247">
        <v>3870</v>
      </c>
      <c r="G579" s="128">
        <v>10106</v>
      </c>
      <c r="H579" s="247">
        <v>12930</v>
      </c>
      <c r="I579" s="128">
        <v>1370</v>
      </c>
      <c r="J579" s="247">
        <v>3340.8</v>
      </c>
      <c r="K579" s="128">
        <v>7034</v>
      </c>
      <c r="L579" s="247">
        <v>10588.8</v>
      </c>
      <c r="M579" s="128"/>
      <c r="N579" s="247"/>
      <c r="O579" s="128"/>
      <c r="P579" s="247"/>
      <c r="Q579" s="128"/>
      <c r="R579" s="247"/>
      <c r="S579" s="128"/>
      <c r="T579" s="247"/>
      <c r="U579" s="128"/>
      <c r="V579" s="247"/>
      <c r="W579" s="128"/>
      <c r="X579" s="247"/>
      <c r="Y579" s="128"/>
      <c r="Z579" s="247"/>
      <c r="AA579" s="128"/>
      <c r="AB579" s="247"/>
      <c r="AC579" s="128"/>
      <c r="AD579" s="247"/>
      <c r="AE579" s="128"/>
      <c r="AF579" s="247"/>
      <c r="AG579" s="128"/>
      <c r="AH579" s="247"/>
      <c r="AI579" s="128"/>
      <c r="AJ579" s="247"/>
      <c r="AK579" s="128"/>
      <c r="AL579" s="247"/>
      <c r="AM579" s="128"/>
      <c r="AN579" s="146"/>
    </row>
    <row r="580" spans="1:40" s="121" customFormat="1" ht="15" customHeight="1">
      <c r="A580" s="125" t="s">
        <v>1036</v>
      </c>
      <c r="B580" s="125" t="s">
        <v>229</v>
      </c>
      <c r="C580" s="349">
        <v>228529</v>
      </c>
      <c r="D580" s="127">
        <v>3</v>
      </c>
      <c r="E580" s="128">
        <v>3484.6</v>
      </c>
      <c r="F580" s="247">
        <v>3815</v>
      </c>
      <c r="G580" s="128">
        <v>9953</v>
      </c>
      <c r="H580" s="247">
        <v>11263</v>
      </c>
      <c r="I580" s="128">
        <v>2530.4</v>
      </c>
      <c r="J580" s="247">
        <v>4623.6</v>
      </c>
      <c r="K580" s="128">
        <v>8890</v>
      </c>
      <c r="L580" s="247">
        <v>13539.6</v>
      </c>
      <c r="M580" s="128"/>
      <c r="N580" s="247"/>
      <c r="O580" s="128"/>
      <c r="P580" s="247"/>
      <c r="Q580" s="128"/>
      <c r="R580" s="247"/>
      <c r="S580" s="128"/>
      <c r="T580" s="247"/>
      <c r="U580" s="128"/>
      <c r="V580" s="247"/>
      <c r="W580" s="128"/>
      <c r="X580" s="247"/>
      <c r="Y580" s="128"/>
      <c r="Z580" s="247"/>
      <c r="AA580" s="128"/>
      <c r="AB580" s="247"/>
      <c r="AC580" s="128"/>
      <c r="AD580" s="247"/>
      <c r="AE580" s="128"/>
      <c r="AF580" s="247"/>
      <c r="AG580" s="128"/>
      <c r="AH580" s="247"/>
      <c r="AI580" s="128"/>
      <c r="AJ580" s="247"/>
      <c r="AK580" s="128"/>
      <c r="AL580" s="247"/>
      <c r="AM580" s="128"/>
      <c r="AN580" s="146"/>
    </row>
    <row r="581" spans="1:40" s="121" customFormat="1" ht="15" customHeight="1">
      <c r="A581" s="125" t="s">
        <v>1036</v>
      </c>
      <c r="B581" s="125" t="s">
        <v>230</v>
      </c>
      <c r="C581" s="349">
        <v>224554</v>
      </c>
      <c r="D581" s="127">
        <v>3</v>
      </c>
      <c r="E581" s="128">
        <v>3624</v>
      </c>
      <c r="F581" s="247">
        <v>3834</v>
      </c>
      <c r="G581" s="128">
        <v>10120</v>
      </c>
      <c r="H581" s="247">
        <v>10850</v>
      </c>
      <c r="I581" s="128">
        <v>3082</v>
      </c>
      <c r="J581" s="247">
        <v>3840</v>
      </c>
      <c r="K581" s="128">
        <v>8170</v>
      </c>
      <c r="L581" s="247">
        <v>9456</v>
      </c>
      <c r="M581" s="128"/>
      <c r="N581" s="247"/>
      <c r="O581" s="128"/>
      <c r="P581" s="247"/>
      <c r="Q581" s="128"/>
      <c r="R581" s="247"/>
      <c r="S581" s="128"/>
      <c r="T581" s="247"/>
      <c r="U581" s="128"/>
      <c r="V581" s="247"/>
      <c r="W581" s="128"/>
      <c r="X581" s="247"/>
      <c r="Y581" s="128"/>
      <c r="Z581" s="247"/>
      <c r="AA581" s="128"/>
      <c r="AB581" s="247"/>
      <c r="AC581" s="128"/>
      <c r="AD581" s="247"/>
      <c r="AE581" s="128"/>
      <c r="AF581" s="247"/>
      <c r="AG581" s="128"/>
      <c r="AH581" s="247"/>
      <c r="AI581" s="128"/>
      <c r="AJ581" s="247"/>
      <c r="AK581" s="128"/>
      <c r="AL581" s="247"/>
      <c r="AM581" s="128"/>
      <c r="AN581" s="146"/>
    </row>
    <row r="582" spans="1:40" s="121" customFormat="1" ht="15" customHeight="1">
      <c r="A582" s="125" t="s">
        <v>1036</v>
      </c>
      <c r="B582" s="125" t="s">
        <v>231</v>
      </c>
      <c r="C582" s="349">
        <v>224147</v>
      </c>
      <c r="D582" s="127">
        <v>3</v>
      </c>
      <c r="E582" s="128">
        <v>3843</v>
      </c>
      <c r="F582" s="247">
        <v>4279</v>
      </c>
      <c r="G582" s="128">
        <v>8758</v>
      </c>
      <c r="H582" s="247">
        <v>12019</v>
      </c>
      <c r="I582" s="128">
        <v>2722</v>
      </c>
      <c r="J582" s="247">
        <v>3924</v>
      </c>
      <c r="K582" s="128">
        <v>8110</v>
      </c>
      <c r="L582" s="247">
        <v>10116</v>
      </c>
      <c r="M582" s="128"/>
      <c r="N582" s="247"/>
      <c r="O582" s="128"/>
      <c r="P582" s="247"/>
      <c r="Q582" s="128"/>
      <c r="R582" s="247"/>
      <c r="S582" s="128"/>
      <c r="T582" s="247"/>
      <c r="U582" s="128"/>
      <c r="V582" s="247"/>
      <c r="W582" s="128"/>
      <c r="X582" s="247"/>
      <c r="Y582" s="128"/>
      <c r="Z582" s="247"/>
      <c r="AA582" s="128"/>
      <c r="AB582" s="247"/>
      <c r="AC582" s="128"/>
      <c r="AD582" s="247"/>
      <c r="AE582" s="128"/>
      <c r="AF582" s="247"/>
      <c r="AG582" s="128"/>
      <c r="AH582" s="247"/>
      <c r="AI582" s="128"/>
      <c r="AJ582" s="247"/>
      <c r="AK582" s="128"/>
      <c r="AL582" s="247"/>
      <c r="AM582" s="128"/>
      <c r="AN582" s="146"/>
    </row>
    <row r="583" spans="1:40" s="121" customFormat="1" ht="15" customHeight="1">
      <c r="A583" s="125" t="s">
        <v>1036</v>
      </c>
      <c r="B583" s="125" t="s">
        <v>232</v>
      </c>
      <c r="C583" s="349">
        <v>228705</v>
      </c>
      <c r="D583" s="127">
        <v>3</v>
      </c>
      <c r="E583" s="128">
        <v>3846</v>
      </c>
      <c r="F583" s="247">
        <v>4086</v>
      </c>
      <c r="G583" s="128">
        <v>10180</v>
      </c>
      <c r="H583" s="247">
        <v>11826</v>
      </c>
      <c r="I583" s="128">
        <v>2848</v>
      </c>
      <c r="J583" s="247">
        <v>3724.8</v>
      </c>
      <c r="K583" s="128">
        <v>8512</v>
      </c>
      <c r="L583" s="247">
        <v>9916.8</v>
      </c>
      <c r="M583" s="128"/>
      <c r="N583" s="247"/>
      <c r="O583" s="128"/>
      <c r="P583" s="247"/>
      <c r="Q583" s="128"/>
      <c r="R583" s="247"/>
      <c r="S583" s="128"/>
      <c r="T583" s="247"/>
      <c r="U583" s="128"/>
      <c r="V583" s="247"/>
      <c r="W583" s="128"/>
      <c r="X583" s="247"/>
      <c r="Y583" s="128"/>
      <c r="Z583" s="247"/>
      <c r="AA583" s="128"/>
      <c r="AB583" s="247"/>
      <c r="AC583" s="128"/>
      <c r="AD583" s="247"/>
      <c r="AE583" s="128"/>
      <c r="AF583" s="247"/>
      <c r="AG583" s="128"/>
      <c r="AH583" s="247"/>
      <c r="AI583" s="128"/>
      <c r="AJ583" s="247"/>
      <c r="AK583" s="128"/>
      <c r="AL583" s="247"/>
      <c r="AM583" s="128"/>
      <c r="AN583" s="146"/>
    </row>
    <row r="584" spans="1:40" s="121" customFormat="1" ht="15" customHeight="1">
      <c r="A584" s="125" t="s">
        <v>1036</v>
      </c>
      <c r="B584" s="125" t="s">
        <v>233</v>
      </c>
      <c r="C584" s="349">
        <v>229063</v>
      </c>
      <c r="D584" s="127">
        <v>3</v>
      </c>
      <c r="E584" s="128">
        <v>3962</v>
      </c>
      <c r="F584" s="247">
        <v>4416</v>
      </c>
      <c r="G584" s="128">
        <v>10086</v>
      </c>
      <c r="H584" s="247">
        <v>13476</v>
      </c>
      <c r="I584" s="128">
        <v>3558</v>
      </c>
      <c r="J584" s="247">
        <v>5056.8</v>
      </c>
      <c r="K584" s="128">
        <v>9270</v>
      </c>
      <c r="L584" s="247">
        <v>10984.8</v>
      </c>
      <c r="M584" s="128">
        <v>5886</v>
      </c>
      <c r="N584" s="247">
        <v>10327</v>
      </c>
      <c r="O584" s="128">
        <v>8514</v>
      </c>
      <c r="P584" s="247">
        <v>13747</v>
      </c>
      <c r="Q584" s="128"/>
      <c r="R584" s="247"/>
      <c r="S584" s="128"/>
      <c r="T584" s="247"/>
      <c r="U584" s="128"/>
      <c r="V584" s="247"/>
      <c r="W584" s="128"/>
      <c r="X584" s="247"/>
      <c r="Y584" s="128">
        <v>3382</v>
      </c>
      <c r="Z584" s="247">
        <v>5034</v>
      </c>
      <c r="AA584" s="128">
        <v>8086</v>
      </c>
      <c r="AB584" s="247">
        <v>8814</v>
      </c>
      <c r="AC584" s="128"/>
      <c r="AD584" s="247"/>
      <c r="AE584" s="128"/>
      <c r="AF584" s="247"/>
      <c r="AG584" s="128"/>
      <c r="AH584" s="247"/>
      <c r="AI584" s="128"/>
      <c r="AJ584" s="247"/>
      <c r="AK584" s="128"/>
      <c r="AL584" s="247"/>
      <c r="AM584" s="128"/>
      <c r="AN584" s="146"/>
    </row>
    <row r="585" spans="1:40" s="121" customFormat="1" ht="15" customHeight="1">
      <c r="A585" s="125" t="s">
        <v>1036</v>
      </c>
      <c r="B585" s="125" t="s">
        <v>234</v>
      </c>
      <c r="C585" s="349">
        <v>228459</v>
      </c>
      <c r="D585" s="127">
        <v>3</v>
      </c>
      <c r="E585" s="128">
        <v>4316</v>
      </c>
      <c r="F585" s="247">
        <v>4680</v>
      </c>
      <c r="G585" s="128">
        <v>10787</v>
      </c>
      <c r="H585" s="247">
        <v>13866</v>
      </c>
      <c r="I585" s="128">
        <v>3764</v>
      </c>
      <c r="J585" s="247">
        <v>5275.2</v>
      </c>
      <c r="K585" s="128">
        <v>9800</v>
      </c>
      <c r="L585" s="247">
        <v>11467.2</v>
      </c>
      <c r="M585" s="128"/>
      <c r="N585" s="247"/>
      <c r="O585" s="128"/>
      <c r="P585" s="247"/>
      <c r="Q585" s="128"/>
      <c r="R585" s="247"/>
      <c r="S585" s="128"/>
      <c r="T585" s="247"/>
      <c r="U585" s="128"/>
      <c r="V585" s="247"/>
      <c r="W585" s="128"/>
      <c r="X585" s="247"/>
      <c r="Y585" s="128"/>
      <c r="Z585" s="247"/>
      <c r="AA585" s="128"/>
      <c r="AB585" s="247"/>
      <c r="AC585" s="128"/>
      <c r="AD585" s="247"/>
      <c r="AE585" s="128"/>
      <c r="AF585" s="247"/>
      <c r="AG585" s="128"/>
      <c r="AH585" s="247"/>
      <c r="AI585" s="128"/>
      <c r="AJ585" s="247"/>
      <c r="AK585" s="128"/>
      <c r="AL585" s="247"/>
      <c r="AM585" s="128"/>
      <c r="AN585" s="146"/>
    </row>
    <row r="586" spans="1:40" s="121" customFormat="1" ht="15" customHeight="1">
      <c r="A586" s="125" t="s">
        <v>1036</v>
      </c>
      <c r="B586" s="125" t="s">
        <v>235</v>
      </c>
      <c r="C586" s="349">
        <v>225414</v>
      </c>
      <c r="D586" s="127">
        <v>3</v>
      </c>
      <c r="E586" s="128">
        <v>3830</v>
      </c>
      <c r="F586" s="247">
        <v>4284</v>
      </c>
      <c r="G586" s="128">
        <v>10485</v>
      </c>
      <c r="H586" s="247">
        <v>12024</v>
      </c>
      <c r="I586" s="128">
        <v>3844</v>
      </c>
      <c r="J586" s="247">
        <v>4965.6</v>
      </c>
      <c r="K586" s="128">
        <v>8404</v>
      </c>
      <c r="L586" s="247">
        <v>10581.6</v>
      </c>
      <c r="M586" s="128"/>
      <c r="N586" s="247"/>
      <c r="O586" s="128"/>
      <c r="P586" s="247"/>
      <c r="Q586" s="128"/>
      <c r="R586" s="247"/>
      <c r="S586" s="128"/>
      <c r="T586" s="247"/>
      <c r="U586" s="128"/>
      <c r="V586" s="247"/>
      <c r="W586" s="128"/>
      <c r="X586" s="247"/>
      <c r="Y586" s="128"/>
      <c r="Z586" s="247"/>
      <c r="AA586" s="128"/>
      <c r="AB586" s="247"/>
      <c r="AC586" s="128"/>
      <c r="AD586" s="247"/>
      <c r="AE586" s="128"/>
      <c r="AF586" s="247"/>
      <c r="AG586" s="128"/>
      <c r="AH586" s="247"/>
      <c r="AI586" s="128"/>
      <c r="AJ586" s="247"/>
      <c r="AK586" s="128"/>
      <c r="AL586" s="247"/>
      <c r="AM586" s="128"/>
      <c r="AN586" s="146"/>
    </row>
    <row r="587" spans="1:40" s="121" customFormat="1" ht="15" customHeight="1">
      <c r="A587" s="125" t="s">
        <v>1036</v>
      </c>
      <c r="B587" s="125" t="s">
        <v>236</v>
      </c>
      <c r="C587" s="349">
        <v>228796</v>
      </c>
      <c r="D587" s="127">
        <v>3</v>
      </c>
      <c r="E587" s="128">
        <v>4134</v>
      </c>
      <c r="F587" s="247">
        <v>4646</v>
      </c>
      <c r="G587" s="128">
        <v>10308</v>
      </c>
      <c r="H587" s="247">
        <v>12388</v>
      </c>
      <c r="I587" s="128">
        <v>3294</v>
      </c>
      <c r="J587" s="247">
        <v>4646.4</v>
      </c>
      <c r="K587" s="128">
        <v>9606</v>
      </c>
      <c r="L587" s="247">
        <v>9847.2</v>
      </c>
      <c r="M587" s="128"/>
      <c r="N587" s="247"/>
      <c r="O587" s="128"/>
      <c r="P587" s="247"/>
      <c r="Q587" s="128"/>
      <c r="R587" s="247"/>
      <c r="S587" s="128"/>
      <c r="T587" s="247"/>
      <c r="U587" s="128"/>
      <c r="V587" s="247"/>
      <c r="W587" s="128"/>
      <c r="X587" s="247"/>
      <c r="Y587" s="128"/>
      <c r="Z587" s="247"/>
      <c r="AA587" s="128"/>
      <c r="AB587" s="247"/>
      <c r="AC587" s="128"/>
      <c r="AD587" s="247"/>
      <c r="AE587" s="128"/>
      <c r="AF587" s="247"/>
      <c r="AG587" s="128"/>
      <c r="AH587" s="247"/>
      <c r="AI587" s="128"/>
      <c r="AJ587" s="247"/>
      <c r="AK587" s="128"/>
      <c r="AL587" s="247"/>
      <c r="AM587" s="128"/>
      <c r="AN587" s="146"/>
    </row>
    <row r="588" spans="1:40" s="121" customFormat="1" ht="15" customHeight="1">
      <c r="A588" s="125" t="s">
        <v>1036</v>
      </c>
      <c r="B588" s="125" t="s">
        <v>237</v>
      </c>
      <c r="C588" s="349">
        <v>229027</v>
      </c>
      <c r="D588" s="127">
        <v>3</v>
      </c>
      <c r="E588" s="128">
        <v>4508.6</v>
      </c>
      <c r="F588" s="247">
        <v>5272</v>
      </c>
      <c r="G588" s="128">
        <v>10328</v>
      </c>
      <c r="H588" s="247">
        <v>13012</v>
      </c>
      <c r="I588" s="128">
        <v>2089</v>
      </c>
      <c r="J588" s="247">
        <v>5674.8</v>
      </c>
      <c r="K588" s="128">
        <v>8485</v>
      </c>
      <c r="L588" s="247">
        <v>18058.8</v>
      </c>
      <c r="M588" s="128"/>
      <c r="N588" s="247"/>
      <c r="O588" s="128"/>
      <c r="P588" s="247"/>
      <c r="Q588" s="128"/>
      <c r="R588" s="247"/>
      <c r="S588" s="128"/>
      <c r="T588" s="247"/>
      <c r="U588" s="128"/>
      <c r="V588" s="247"/>
      <c r="W588" s="128"/>
      <c r="X588" s="247"/>
      <c r="Y588" s="128"/>
      <c r="Z588" s="247"/>
      <c r="AA588" s="128"/>
      <c r="AB588" s="247"/>
      <c r="AC588" s="128"/>
      <c r="AD588" s="247"/>
      <c r="AE588" s="128"/>
      <c r="AF588" s="247"/>
      <c r="AG588" s="128"/>
      <c r="AH588" s="247"/>
      <c r="AI588" s="128"/>
      <c r="AJ588" s="247"/>
      <c r="AK588" s="128"/>
      <c r="AL588" s="247"/>
      <c r="AM588" s="128"/>
      <c r="AN588" s="146"/>
    </row>
    <row r="589" spans="1:40" s="121" customFormat="1" ht="15" customHeight="1">
      <c r="A589" s="125" t="s">
        <v>1036</v>
      </c>
      <c r="B589" s="125" t="s">
        <v>238</v>
      </c>
      <c r="C589" s="349">
        <v>228802</v>
      </c>
      <c r="D589" s="127">
        <v>3</v>
      </c>
      <c r="E589" s="128">
        <v>3702</v>
      </c>
      <c r="F589" s="247">
        <v>4062</v>
      </c>
      <c r="G589" s="128">
        <v>10019</v>
      </c>
      <c r="H589" s="247">
        <v>11782</v>
      </c>
      <c r="I589" s="128">
        <v>2369</v>
      </c>
      <c r="J589" s="247">
        <v>3590.4</v>
      </c>
      <c r="K589" s="128">
        <v>7409</v>
      </c>
      <c r="L589" s="247">
        <v>9782.4</v>
      </c>
      <c r="M589" s="128"/>
      <c r="N589" s="247"/>
      <c r="O589" s="128"/>
      <c r="P589" s="247"/>
      <c r="Q589" s="128"/>
      <c r="R589" s="247"/>
      <c r="S589" s="128"/>
      <c r="T589" s="247"/>
      <c r="U589" s="128"/>
      <c r="V589" s="247"/>
      <c r="W589" s="128"/>
      <c r="X589" s="247"/>
      <c r="Y589" s="128"/>
      <c r="Z589" s="247"/>
      <c r="AA589" s="128"/>
      <c r="AB589" s="247"/>
      <c r="AC589" s="128"/>
      <c r="AD589" s="247"/>
      <c r="AE589" s="128"/>
      <c r="AF589" s="247"/>
      <c r="AG589" s="128"/>
      <c r="AH589" s="247"/>
      <c r="AI589" s="128"/>
      <c r="AJ589" s="247"/>
      <c r="AK589" s="128"/>
      <c r="AL589" s="247"/>
      <c r="AM589" s="128"/>
      <c r="AN589" s="146"/>
    </row>
    <row r="590" spans="1:40" s="121" customFormat="1" ht="15" customHeight="1">
      <c r="A590" s="125" t="s">
        <v>1036</v>
      </c>
      <c r="B590" s="125" t="s">
        <v>239</v>
      </c>
      <c r="C590" s="349">
        <v>227368</v>
      </c>
      <c r="D590" s="127">
        <v>3</v>
      </c>
      <c r="E590" s="128">
        <v>2983.5</v>
      </c>
      <c r="F590" s="247">
        <v>3152</v>
      </c>
      <c r="G590" s="128">
        <v>9758</v>
      </c>
      <c r="H590" s="247">
        <v>10892</v>
      </c>
      <c r="I590" s="128">
        <v>2510</v>
      </c>
      <c r="J590" s="247">
        <v>3177.6</v>
      </c>
      <c r="K590" s="128">
        <v>8174</v>
      </c>
      <c r="L590" s="247">
        <v>9369.6</v>
      </c>
      <c r="M590" s="128"/>
      <c r="N590" s="247"/>
      <c r="O590" s="128"/>
      <c r="P590" s="247"/>
      <c r="Q590" s="128"/>
      <c r="R590" s="247"/>
      <c r="S590" s="128"/>
      <c r="T590" s="247"/>
      <c r="U590" s="128"/>
      <c r="V590" s="247"/>
      <c r="W590" s="128"/>
      <c r="X590" s="247"/>
      <c r="Y590" s="128"/>
      <c r="Z590" s="247"/>
      <c r="AA590" s="128"/>
      <c r="AB590" s="247"/>
      <c r="AC590" s="128"/>
      <c r="AD590" s="247"/>
      <c r="AE590" s="128"/>
      <c r="AF590" s="247"/>
      <c r="AG590" s="128"/>
      <c r="AH590" s="247"/>
      <c r="AI590" s="128"/>
      <c r="AJ590" s="247"/>
      <c r="AK590" s="128"/>
      <c r="AL590" s="247"/>
      <c r="AM590" s="128"/>
      <c r="AN590" s="146"/>
    </row>
    <row r="591" spans="1:40" s="121" customFormat="1" ht="15" customHeight="1">
      <c r="A591" s="125" t="s">
        <v>1036</v>
      </c>
      <c r="B591" s="125" t="s">
        <v>240</v>
      </c>
      <c r="C591" s="349">
        <v>229814</v>
      </c>
      <c r="D591" s="127">
        <v>3</v>
      </c>
      <c r="E591" s="128">
        <v>3375.38</v>
      </c>
      <c r="F591" s="247">
        <v>3571</v>
      </c>
      <c r="G591" s="128">
        <v>10272</v>
      </c>
      <c r="H591" s="247">
        <v>11212</v>
      </c>
      <c r="I591" s="128">
        <v>2926</v>
      </c>
      <c r="J591" s="247">
        <v>3206.4</v>
      </c>
      <c r="K591" s="128">
        <v>8590</v>
      </c>
      <c r="L591" s="247">
        <v>9398.4</v>
      </c>
      <c r="M591" s="128"/>
      <c r="N591" s="247"/>
      <c r="O591" s="128"/>
      <c r="P591" s="247"/>
      <c r="Q591" s="128"/>
      <c r="R591" s="247"/>
      <c r="S591" s="128"/>
      <c r="T591" s="247"/>
      <c r="U591" s="128"/>
      <c r="V591" s="247"/>
      <c r="W591" s="128"/>
      <c r="X591" s="247"/>
      <c r="Y591" s="128"/>
      <c r="Z591" s="247"/>
      <c r="AA591" s="128"/>
      <c r="AB591" s="247"/>
      <c r="AC591" s="128"/>
      <c r="AD591" s="247"/>
      <c r="AE591" s="128"/>
      <c r="AF591" s="247"/>
      <c r="AG591" s="128"/>
      <c r="AH591" s="247"/>
      <c r="AI591" s="128"/>
      <c r="AJ591" s="247"/>
      <c r="AK591" s="128"/>
      <c r="AL591" s="247"/>
      <c r="AM591" s="128"/>
      <c r="AN591" s="146"/>
    </row>
    <row r="592" spans="1:40" s="121" customFormat="1" ht="15" customHeight="1">
      <c r="A592" s="125" t="s">
        <v>1036</v>
      </c>
      <c r="B592" s="125" t="s">
        <v>241</v>
      </c>
      <c r="C592" s="349">
        <v>226152</v>
      </c>
      <c r="D592" s="127">
        <v>4</v>
      </c>
      <c r="E592" s="128">
        <v>3421</v>
      </c>
      <c r="F592" s="247">
        <v>3813</v>
      </c>
      <c r="G592" s="128">
        <v>9690</v>
      </c>
      <c r="H592" s="247">
        <v>11573</v>
      </c>
      <c r="I592" s="128">
        <v>2124</v>
      </c>
      <c r="J592" s="247">
        <v>2932.8</v>
      </c>
      <c r="K592" s="128">
        <v>8628</v>
      </c>
      <c r="L592" s="247">
        <v>8505.6</v>
      </c>
      <c r="M592" s="128"/>
      <c r="N592" s="247"/>
      <c r="O592" s="128"/>
      <c r="P592" s="247"/>
      <c r="Q592" s="128"/>
      <c r="R592" s="247"/>
      <c r="S592" s="128"/>
      <c r="T592" s="247"/>
      <c r="U592" s="128"/>
      <c r="V592" s="247"/>
      <c r="W592" s="128"/>
      <c r="X592" s="247"/>
      <c r="Y592" s="128"/>
      <c r="Z592" s="247"/>
      <c r="AA592" s="128"/>
      <c r="AB592" s="247"/>
      <c r="AC592" s="128"/>
      <c r="AD592" s="247"/>
      <c r="AE592" s="128"/>
      <c r="AF592" s="247"/>
      <c r="AG592" s="128"/>
      <c r="AH592" s="247"/>
      <c r="AI592" s="128"/>
      <c r="AJ592" s="247"/>
      <c r="AK592" s="128"/>
      <c r="AL592" s="247"/>
      <c r="AM592" s="128"/>
      <c r="AN592" s="146"/>
    </row>
    <row r="593" spans="1:40" s="121" customFormat="1" ht="15" customHeight="1">
      <c r="A593" s="125" t="s">
        <v>1036</v>
      </c>
      <c r="B593" s="125" t="s">
        <v>242</v>
      </c>
      <c r="C593" s="349">
        <v>224545</v>
      </c>
      <c r="D593" s="127">
        <v>4</v>
      </c>
      <c r="E593" s="128">
        <v>2862</v>
      </c>
      <c r="F593" s="247">
        <v>2922</v>
      </c>
      <c r="G593" s="128">
        <v>9500</v>
      </c>
      <c r="H593" s="247">
        <v>10662</v>
      </c>
      <c r="I593" s="128">
        <v>2420</v>
      </c>
      <c r="J593" s="247">
        <v>2822.4</v>
      </c>
      <c r="K593" s="128">
        <v>7604</v>
      </c>
      <c r="L593" s="247">
        <v>9014.4</v>
      </c>
      <c r="M593" s="128"/>
      <c r="N593" s="247"/>
      <c r="O593" s="128"/>
      <c r="P593" s="247"/>
      <c r="Q593" s="128"/>
      <c r="R593" s="247"/>
      <c r="S593" s="128"/>
      <c r="T593" s="247"/>
      <c r="U593" s="128"/>
      <c r="V593" s="247"/>
      <c r="W593" s="128"/>
      <c r="X593" s="247"/>
      <c r="Y593" s="128"/>
      <c r="Z593" s="247"/>
      <c r="AA593" s="128"/>
      <c r="AB593" s="247"/>
      <c r="AC593" s="128"/>
      <c r="AD593" s="247"/>
      <c r="AE593" s="128"/>
      <c r="AF593" s="247"/>
      <c r="AG593" s="128"/>
      <c r="AH593" s="247"/>
      <c r="AI593" s="128"/>
      <c r="AJ593" s="247"/>
      <c r="AK593" s="128"/>
      <c r="AL593" s="247"/>
      <c r="AM593" s="128"/>
      <c r="AN593" s="146"/>
    </row>
    <row r="594" spans="1:40" s="121" customFormat="1" ht="15" customHeight="1">
      <c r="A594" s="125" t="s">
        <v>1036</v>
      </c>
      <c r="B594" s="125" t="s">
        <v>243</v>
      </c>
      <c r="C594" s="350">
        <v>227377</v>
      </c>
      <c r="D594" s="127">
        <v>4</v>
      </c>
      <c r="E594" s="128">
        <v>2943.12</v>
      </c>
      <c r="F594" s="247">
        <v>3453</v>
      </c>
      <c r="G594" s="128">
        <v>9533</v>
      </c>
      <c r="H594" s="247">
        <v>11193</v>
      </c>
      <c r="I594" s="128">
        <v>2321</v>
      </c>
      <c r="J594" s="247">
        <v>3183.6</v>
      </c>
      <c r="K594" s="128">
        <v>7937</v>
      </c>
      <c r="L594" s="247">
        <v>9375.6</v>
      </c>
      <c r="M594" s="128"/>
      <c r="N594" s="247"/>
      <c r="O594" s="128"/>
      <c r="P594" s="247"/>
      <c r="Q594" s="128"/>
      <c r="R594" s="247"/>
      <c r="S594" s="128"/>
      <c r="T594" s="247"/>
      <c r="U594" s="128"/>
      <c r="V594" s="247"/>
      <c r="W594" s="128"/>
      <c r="X594" s="247"/>
      <c r="Y594" s="128"/>
      <c r="Z594" s="247"/>
      <c r="AA594" s="128"/>
      <c r="AB594" s="247"/>
      <c r="AC594" s="128"/>
      <c r="AD594" s="247"/>
      <c r="AE594" s="128"/>
      <c r="AF594" s="247"/>
      <c r="AG594" s="128"/>
      <c r="AH594" s="247"/>
      <c r="AI594" s="128"/>
      <c r="AJ594" s="247"/>
      <c r="AK594" s="128"/>
      <c r="AL594" s="247"/>
      <c r="AM594" s="128"/>
      <c r="AN594" s="146"/>
    </row>
    <row r="595" spans="1:40" s="121" customFormat="1" ht="15" customHeight="1">
      <c r="A595" s="125" t="s">
        <v>1036</v>
      </c>
      <c r="B595" s="125" t="s">
        <v>244</v>
      </c>
      <c r="C595" s="349">
        <v>229018</v>
      </c>
      <c r="D595" s="127">
        <v>4</v>
      </c>
      <c r="E595" s="128">
        <v>3587</v>
      </c>
      <c r="F595" s="247">
        <v>3877</v>
      </c>
      <c r="G595" s="128">
        <v>10717</v>
      </c>
      <c r="H595" s="247">
        <v>11619</v>
      </c>
      <c r="I595" s="128">
        <v>3584</v>
      </c>
      <c r="J595" s="247">
        <v>3674.4</v>
      </c>
      <c r="K595" s="128">
        <v>8720</v>
      </c>
      <c r="L595" s="247">
        <v>9422.4</v>
      </c>
      <c r="M595" s="128"/>
      <c r="N595" s="247"/>
      <c r="O595" s="128"/>
      <c r="P595" s="247"/>
      <c r="Q595" s="128"/>
      <c r="R595" s="247"/>
      <c r="S595" s="128"/>
      <c r="T595" s="247"/>
      <c r="U595" s="128"/>
      <c r="V595" s="247"/>
      <c r="W595" s="128"/>
      <c r="X595" s="247"/>
      <c r="Y595" s="128"/>
      <c r="Z595" s="247"/>
      <c r="AA595" s="128"/>
      <c r="AB595" s="247"/>
      <c r="AC595" s="128"/>
      <c r="AD595" s="247"/>
      <c r="AE595" s="128"/>
      <c r="AF595" s="247"/>
      <c r="AG595" s="128"/>
      <c r="AH595" s="247"/>
      <c r="AI595" s="128"/>
      <c r="AJ595" s="247"/>
      <c r="AK595" s="128"/>
      <c r="AL595" s="247"/>
      <c r="AM595" s="128"/>
      <c r="AN595" s="146"/>
    </row>
    <row r="596" spans="1:40" s="121" customFormat="1" ht="15" customHeight="1">
      <c r="A596" s="125" t="s">
        <v>1036</v>
      </c>
      <c r="B596" s="125" t="s">
        <v>245</v>
      </c>
      <c r="C596" s="349" t="s">
        <v>246</v>
      </c>
      <c r="D596" s="127">
        <v>5</v>
      </c>
      <c r="E596" s="128">
        <v>3522</v>
      </c>
      <c r="F596" s="247">
        <v>3870</v>
      </c>
      <c r="G596" s="128">
        <v>10106</v>
      </c>
      <c r="H596" s="247">
        <v>12930</v>
      </c>
      <c r="I596" s="128">
        <v>1370</v>
      </c>
      <c r="J596" s="247">
        <v>3340.8</v>
      </c>
      <c r="K596" s="128">
        <v>7034</v>
      </c>
      <c r="L596" s="247">
        <v>10588.8</v>
      </c>
      <c r="M596" s="128"/>
      <c r="N596" s="247"/>
      <c r="O596" s="128"/>
      <c r="P596" s="247"/>
      <c r="Q596" s="128"/>
      <c r="R596" s="247"/>
      <c r="S596" s="128"/>
      <c r="T596" s="247"/>
      <c r="U596" s="128"/>
      <c r="V596" s="247"/>
      <c r="W596" s="128"/>
      <c r="X596" s="247"/>
      <c r="Y596" s="128"/>
      <c r="Z596" s="247"/>
      <c r="AA596" s="128"/>
      <c r="AB596" s="247"/>
      <c r="AC596" s="128"/>
      <c r="AD596" s="247"/>
      <c r="AE596" s="128"/>
      <c r="AF596" s="247"/>
      <c r="AG596" s="128"/>
      <c r="AH596" s="247"/>
      <c r="AI596" s="128"/>
      <c r="AJ596" s="247"/>
      <c r="AK596" s="128"/>
      <c r="AL596" s="247"/>
      <c r="AM596" s="128"/>
      <c r="AN596" s="146"/>
    </row>
    <row r="597" spans="1:40" s="121" customFormat="1" ht="15" customHeight="1">
      <c r="A597" s="125" t="s">
        <v>1036</v>
      </c>
      <c r="B597" s="125" t="s">
        <v>247</v>
      </c>
      <c r="C597" s="349">
        <v>225502</v>
      </c>
      <c r="D597" s="127">
        <v>5</v>
      </c>
      <c r="E597" s="128">
        <v>4004</v>
      </c>
      <c r="F597" s="247">
        <v>4140</v>
      </c>
      <c r="G597" s="128">
        <v>10010</v>
      </c>
      <c r="H597" s="247">
        <v>13200</v>
      </c>
      <c r="I597" s="128">
        <v>3452</v>
      </c>
      <c r="J597" s="247">
        <v>4584</v>
      </c>
      <c r="K597" s="128">
        <v>8012</v>
      </c>
      <c r="L597" s="247">
        <v>10680</v>
      </c>
      <c r="M597" s="128"/>
      <c r="N597" s="247"/>
      <c r="O597" s="128"/>
      <c r="P597" s="247"/>
      <c r="Q597" s="128"/>
      <c r="R597" s="247"/>
      <c r="S597" s="128"/>
      <c r="T597" s="247"/>
      <c r="U597" s="128"/>
      <c r="V597" s="247"/>
      <c r="W597" s="128"/>
      <c r="X597" s="247"/>
      <c r="Y597" s="128"/>
      <c r="Z597" s="247"/>
      <c r="AA597" s="128"/>
      <c r="AB597" s="247"/>
      <c r="AC597" s="128"/>
      <c r="AD597" s="247"/>
      <c r="AE597" s="128"/>
      <c r="AF597" s="247"/>
      <c r="AG597" s="128"/>
      <c r="AH597" s="247"/>
      <c r="AI597" s="128"/>
      <c r="AJ597" s="247"/>
      <c r="AK597" s="128"/>
      <c r="AL597" s="247"/>
      <c r="AM597" s="128"/>
      <c r="AN597" s="146"/>
    </row>
    <row r="598" spans="1:40" s="121" customFormat="1" ht="15" customHeight="1">
      <c r="A598" s="125" t="s">
        <v>1036</v>
      </c>
      <c r="B598" s="125" t="s">
        <v>248</v>
      </c>
      <c r="C598" s="349">
        <v>228714</v>
      </c>
      <c r="D598" s="127">
        <v>6</v>
      </c>
      <c r="E598" s="128">
        <v>3965.9</v>
      </c>
      <c r="F598" s="247">
        <v>4682.9</v>
      </c>
      <c r="G598" s="128">
        <v>10312</v>
      </c>
      <c r="H598" s="247">
        <v>13862.9</v>
      </c>
      <c r="I598" s="128">
        <v>2653</v>
      </c>
      <c r="J598" s="367">
        <v>6396</v>
      </c>
      <c r="K598" s="128">
        <v>8317</v>
      </c>
      <c r="L598" s="247">
        <v>11210.4</v>
      </c>
      <c r="M598" s="128"/>
      <c r="N598" s="247"/>
      <c r="O598" s="128"/>
      <c r="P598" s="247"/>
      <c r="Q598" s="128"/>
      <c r="R598" s="247"/>
      <c r="S598" s="128"/>
      <c r="T598" s="247"/>
      <c r="U598" s="128"/>
      <c r="V598" s="247"/>
      <c r="W598" s="128"/>
      <c r="X598" s="247"/>
      <c r="Y598" s="128"/>
      <c r="Z598" s="247"/>
      <c r="AA598" s="128"/>
      <c r="AB598" s="247"/>
      <c r="AC598" s="128"/>
      <c r="AD598" s="247"/>
      <c r="AE598" s="128"/>
      <c r="AF598" s="247"/>
      <c r="AG598" s="128"/>
      <c r="AH598" s="247"/>
      <c r="AI598" s="128"/>
      <c r="AJ598" s="247"/>
      <c r="AK598" s="128"/>
      <c r="AL598" s="247"/>
      <c r="AM598" s="128"/>
      <c r="AN598" s="146"/>
    </row>
    <row r="599" spans="1:40" s="121" customFormat="1" ht="15" customHeight="1">
      <c r="A599" s="125" t="s">
        <v>1036</v>
      </c>
      <c r="B599" s="125" t="s">
        <v>249</v>
      </c>
      <c r="C599" s="349">
        <v>225432</v>
      </c>
      <c r="D599" s="127">
        <v>6</v>
      </c>
      <c r="E599" s="128">
        <v>3314</v>
      </c>
      <c r="F599" s="247">
        <v>3874</v>
      </c>
      <c r="G599" s="128">
        <v>9875</v>
      </c>
      <c r="H599" s="247">
        <v>11684</v>
      </c>
      <c r="I599" s="128">
        <v>2618</v>
      </c>
      <c r="J599" s="247">
        <v>4024.8</v>
      </c>
      <c r="K599" s="128">
        <v>7922</v>
      </c>
      <c r="L599" s="247">
        <v>9376.8</v>
      </c>
      <c r="M599" s="128"/>
      <c r="N599" s="247"/>
      <c r="O599" s="128"/>
      <c r="P599" s="247"/>
      <c r="Q599" s="128"/>
      <c r="R599" s="247"/>
      <c r="S599" s="128"/>
      <c r="T599" s="247"/>
      <c r="U599" s="128"/>
      <c r="V599" s="247"/>
      <c r="W599" s="128"/>
      <c r="X599" s="247"/>
      <c r="Y599" s="128"/>
      <c r="Z599" s="247"/>
      <c r="AA599" s="128"/>
      <c r="AB599" s="247"/>
      <c r="AC599" s="128"/>
      <c r="AD599" s="247"/>
      <c r="AE599" s="128"/>
      <c r="AF599" s="247"/>
      <c r="AG599" s="128"/>
      <c r="AH599" s="247"/>
      <c r="AI599" s="128"/>
      <c r="AJ599" s="247"/>
      <c r="AK599" s="128"/>
      <c r="AL599" s="247"/>
      <c r="AM599" s="128"/>
      <c r="AN599" s="146"/>
    </row>
    <row r="600" spans="1:40" s="121" customFormat="1" ht="15" customHeight="1">
      <c r="A600" s="125" t="s">
        <v>1036</v>
      </c>
      <c r="B600" s="125" t="s">
        <v>250</v>
      </c>
      <c r="C600" s="350">
        <v>222576</v>
      </c>
      <c r="D600" s="127">
        <v>8</v>
      </c>
      <c r="E600" s="128">
        <v>1049</v>
      </c>
      <c r="F600" s="247">
        <v>1048</v>
      </c>
      <c r="G600" s="128">
        <v>2309</v>
      </c>
      <c r="H600" s="247">
        <v>2444</v>
      </c>
      <c r="I600" s="128"/>
      <c r="J600" s="247"/>
      <c r="K600" s="128"/>
      <c r="L600" s="247"/>
      <c r="M600" s="128"/>
      <c r="N600" s="247"/>
      <c r="O600" s="128"/>
      <c r="P600" s="247"/>
      <c r="Q600" s="128"/>
      <c r="R600" s="247"/>
      <c r="S600" s="128"/>
      <c r="T600" s="247"/>
      <c r="U600" s="128"/>
      <c r="V600" s="247"/>
      <c r="W600" s="128"/>
      <c r="X600" s="247"/>
      <c r="Y600" s="128"/>
      <c r="Z600" s="247"/>
      <c r="AA600" s="128"/>
      <c r="AB600" s="247"/>
      <c r="AC600" s="128"/>
      <c r="AD600" s="247"/>
      <c r="AE600" s="128"/>
      <c r="AF600" s="247"/>
      <c r="AG600" s="128"/>
      <c r="AH600" s="247"/>
      <c r="AI600" s="128"/>
      <c r="AJ600" s="247"/>
      <c r="AK600" s="128"/>
      <c r="AL600" s="247"/>
      <c r="AM600" s="128"/>
      <c r="AN600" s="146"/>
    </row>
    <row r="601" spans="1:40" s="121" customFormat="1" ht="15" customHeight="1">
      <c r="A601" s="125" t="s">
        <v>1036</v>
      </c>
      <c r="B601" s="125" t="s">
        <v>251</v>
      </c>
      <c r="C601" s="350">
        <v>222992</v>
      </c>
      <c r="D601" s="127">
        <v>8</v>
      </c>
      <c r="E601" s="128">
        <v>1464</v>
      </c>
      <c r="F601" s="247">
        <v>1590</v>
      </c>
      <c r="G601" s="128">
        <v>5679</v>
      </c>
      <c r="H601" s="247">
        <v>5940</v>
      </c>
      <c r="I601" s="128"/>
      <c r="J601" s="247"/>
      <c r="K601" s="128"/>
      <c r="L601" s="247"/>
      <c r="M601" s="128"/>
      <c r="N601" s="247"/>
      <c r="O601" s="128"/>
      <c r="P601" s="247"/>
      <c r="Q601" s="128"/>
      <c r="R601" s="247"/>
      <c r="S601" s="128"/>
      <c r="T601" s="247"/>
      <c r="U601" s="128"/>
      <c r="V601" s="247"/>
      <c r="W601" s="128"/>
      <c r="X601" s="247"/>
      <c r="Y601" s="128"/>
      <c r="Z601" s="247"/>
      <c r="AA601" s="128"/>
      <c r="AB601" s="247"/>
      <c r="AC601" s="128"/>
      <c r="AD601" s="247"/>
      <c r="AE601" s="128"/>
      <c r="AF601" s="247"/>
      <c r="AG601" s="128"/>
      <c r="AH601" s="247"/>
      <c r="AI601" s="128"/>
      <c r="AJ601" s="247"/>
      <c r="AK601" s="128"/>
      <c r="AL601" s="247"/>
      <c r="AM601" s="128"/>
      <c r="AN601" s="146"/>
    </row>
    <row r="602" spans="1:40" s="121" customFormat="1" ht="15" customHeight="1">
      <c r="A602" s="125" t="s">
        <v>1036</v>
      </c>
      <c r="B602" s="125" t="s">
        <v>252</v>
      </c>
      <c r="C602" s="350">
        <v>223427</v>
      </c>
      <c r="D602" s="127">
        <v>8</v>
      </c>
      <c r="E602" s="128">
        <v>1518</v>
      </c>
      <c r="F602" s="247">
        <v>1530</v>
      </c>
      <c r="G602" s="128">
        <v>4938</v>
      </c>
      <c r="H602" s="247">
        <v>4890</v>
      </c>
      <c r="I602" s="128"/>
      <c r="J602" s="247"/>
      <c r="K602" s="128"/>
      <c r="L602" s="247"/>
      <c r="M602" s="128"/>
      <c r="N602" s="247"/>
      <c r="O602" s="128"/>
      <c r="P602" s="247"/>
      <c r="Q602" s="128"/>
      <c r="R602" s="247"/>
      <c r="S602" s="128"/>
      <c r="T602" s="247"/>
      <c r="U602" s="128"/>
      <c r="V602" s="247"/>
      <c r="W602" s="128"/>
      <c r="X602" s="247"/>
      <c r="Y602" s="128"/>
      <c r="Z602" s="247"/>
      <c r="AA602" s="128"/>
      <c r="AB602" s="247"/>
      <c r="AC602" s="128"/>
      <c r="AD602" s="247"/>
      <c r="AE602" s="128"/>
      <c r="AF602" s="247"/>
      <c r="AG602" s="128"/>
      <c r="AH602" s="247"/>
      <c r="AI602" s="128"/>
      <c r="AJ602" s="247"/>
      <c r="AK602" s="128"/>
      <c r="AL602" s="247"/>
      <c r="AM602" s="128"/>
      <c r="AN602" s="146"/>
    </row>
    <row r="603" spans="1:40" s="121" customFormat="1" ht="15" customHeight="1">
      <c r="A603" s="125" t="s">
        <v>1036</v>
      </c>
      <c r="B603" s="125" t="s">
        <v>253</v>
      </c>
      <c r="C603" s="350">
        <v>223524</v>
      </c>
      <c r="D603" s="127">
        <v>8</v>
      </c>
      <c r="E603" s="128">
        <v>900</v>
      </c>
      <c r="F603" s="247">
        <v>900</v>
      </c>
      <c r="G603" s="128">
        <v>2400</v>
      </c>
      <c r="H603" s="247">
        <v>2400</v>
      </c>
      <c r="I603" s="128"/>
      <c r="J603" s="247"/>
      <c r="K603" s="128"/>
      <c r="L603" s="247"/>
      <c r="M603" s="128"/>
      <c r="N603" s="247"/>
      <c r="O603" s="128"/>
      <c r="P603" s="247"/>
      <c r="Q603" s="128"/>
      <c r="R603" s="247"/>
      <c r="S603" s="128"/>
      <c r="T603" s="247"/>
      <c r="U603" s="128"/>
      <c r="V603" s="247"/>
      <c r="W603" s="128"/>
      <c r="X603" s="247"/>
      <c r="Y603" s="128"/>
      <c r="Z603" s="247"/>
      <c r="AA603" s="128"/>
      <c r="AB603" s="247"/>
      <c r="AC603" s="128"/>
      <c r="AD603" s="247"/>
      <c r="AE603" s="128"/>
      <c r="AF603" s="247"/>
      <c r="AG603" s="128"/>
      <c r="AH603" s="247"/>
      <c r="AI603" s="128"/>
      <c r="AJ603" s="247"/>
      <c r="AK603" s="128"/>
      <c r="AL603" s="247"/>
      <c r="AM603" s="128"/>
      <c r="AN603" s="146"/>
    </row>
    <row r="604" spans="1:40" s="121" customFormat="1" ht="15" customHeight="1">
      <c r="A604" s="125" t="s">
        <v>1036</v>
      </c>
      <c r="B604" s="125" t="s">
        <v>254</v>
      </c>
      <c r="C604" s="350">
        <v>223816</v>
      </c>
      <c r="D604" s="127">
        <v>8</v>
      </c>
      <c r="E604" s="128">
        <v>1174</v>
      </c>
      <c r="F604" s="247">
        <v>1290</v>
      </c>
      <c r="G604" s="128">
        <v>3374</v>
      </c>
      <c r="H604" s="247">
        <v>3490</v>
      </c>
      <c r="I604" s="128"/>
      <c r="J604" s="247"/>
      <c r="K604" s="128"/>
      <c r="L604" s="247"/>
      <c r="M604" s="128"/>
      <c r="N604" s="247"/>
      <c r="O604" s="128"/>
      <c r="P604" s="247"/>
      <c r="Q604" s="128"/>
      <c r="R604" s="247"/>
      <c r="S604" s="128"/>
      <c r="T604" s="247"/>
      <c r="U604" s="128"/>
      <c r="V604" s="247"/>
      <c r="W604" s="128"/>
      <c r="X604" s="247"/>
      <c r="Y604" s="128"/>
      <c r="Z604" s="247"/>
      <c r="AA604" s="128"/>
      <c r="AB604" s="247"/>
      <c r="AC604" s="128"/>
      <c r="AD604" s="247"/>
      <c r="AE604" s="128"/>
      <c r="AF604" s="247"/>
      <c r="AG604" s="128"/>
      <c r="AH604" s="247"/>
      <c r="AI604" s="128"/>
      <c r="AJ604" s="247"/>
      <c r="AK604" s="128"/>
      <c r="AL604" s="247"/>
      <c r="AM604" s="128"/>
      <c r="AN604" s="146"/>
    </row>
    <row r="605" spans="1:40" s="121" customFormat="1" ht="15" customHeight="1">
      <c r="A605" s="125" t="s">
        <v>1036</v>
      </c>
      <c r="B605" s="125" t="s">
        <v>255</v>
      </c>
      <c r="C605" s="350">
        <v>247834</v>
      </c>
      <c r="D605" s="127">
        <v>8</v>
      </c>
      <c r="E605" s="128">
        <v>1054</v>
      </c>
      <c r="F605" s="247">
        <v>1086</v>
      </c>
      <c r="G605" s="128">
        <v>2644</v>
      </c>
      <c r="H605" s="247">
        <v>2676</v>
      </c>
      <c r="I605" s="128"/>
      <c r="J605" s="247"/>
      <c r="K605" s="128"/>
      <c r="L605" s="247"/>
      <c r="M605" s="128"/>
      <c r="N605" s="247"/>
      <c r="O605" s="128"/>
      <c r="P605" s="247"/>
      <c r="Q605" s="128"/>
      <c r="R605" s="247"/>
      <c r="S605" s="128"/>
      <c r="T605" s="247"/>
      <c r="U605" s="128"/>
      <c r="V605" s="247"/>
      <c r="W605" s="128"/>
      <c r="X605" s="247"/>
      <c r="Y605" s="128"/>
      <c r="Z605" s="247"/>
      <c r="AA605" s="128"/>
      <c r="AB605" s="247"/>
      <c r="AC605" s="128"/>
      <c r="AD605" s="247"/>
      <c r="AE605" s="128"/>
      <c r="AF605" s="247"/>
      <c r="AG605" s="128"/>
      <c r="AH605" s="247"/>
      <c r="AI605" s="128"/>
      <c r="AJ605" s="247"/>
      <c r="AK605" s="128"/>
      <c r="AL605" s="247"/>
      <c r="AM605" s="128"/>
      <c r="AN605" s="146"/>
    </row>
    <row r="606" spans="1:40" s="121" customFormat="1" ht="15" customHeight="1">
      <c r="A606" s="125" t="s">
        <v>1036</v>
      </c>
      <c r="B606" s="125" t="s">
        <v>256</v>
      </c>
      <c r="C606" s="350">
        <v>224350</v>
      </c>
      <c r="D606" s="127">
        <v>8</v>
      </c>
      <c r="E606" s="128">
        <v>1290</v>
      </c>
      <c r="F606" s="247">
        <v>1320</v>
      </c>
      <c r="G606" s="128">
        <v>3480</v>
      </c>
      <c r="H606" s="247">
        <v>3510</v>
      </c>
      <c r="I606" s="128"/>
      <c r="J606" s="247"/>
      <c r="K606" s="128"/>
      <c r="L606" s="247"/>
      <c r="M606" s="128"/>
      <c r="N606" s="247"/>
      <c r="O606" s="128"/>
      <c r="P606" s="247"/>
      <c r="Q606" s="128"/>
      <c r="R606" s="247"/>
      <c r="S606" s="128"/>
      <c r="T606" s="247"/>
      <c r="U606" s="128"/>
      <c r="V606" s="247"/>
      <c r="W606" s="128"/>
      <c r="X606" s="247"/>
      <c r="Y606" s="128"/>
      <c r="Z606" s="247"/>
      <c r="AA606" s="128"/>
      <c r="AB606" s="247"/>
      <c r="AC606" s="128"/>
      <c r="AD606" s="247"/>
      <c r="AE606" s="128"/>
      <c r="AF606" s="247"/>
      <c r="AG606" s="128"/>
      <c r="AH606" s="247"/>
      <c r="AI606" s="128"/>
      <c r="AJ606" s="247"/>
      <c r="AK606" s="128"/>
      <c r="AL606" s="247"/>
      <c r="AM606" s="128"/>
      <c r="AN606" s="146"/>
    </row>
    <row r="607" spans="1:40" s="121" customFormat="1" ht="15" customHeight="1">
      <c r="A607" s="125" t="s">
        <v>1036</v>
      </c>
      <c r="B607" s="125" t="s">
        <v>257</v>
      </c>
      <c r="C607" s="350">
        <v>224572</v>
      </c>
      <c r="D607" s="127">
        <v>8</v>
      </c>
      <c r="E607" s="128">
        <v>900</v>
      </c>
      <c r="F607" s="247">
        <v>900</v>
      </c>
      <c r="G607" s="128">
        <v>2400</v>
      </c>
      <c r="H607" s="247">
        <v>2400</v>
      </c>
      <c r="I607" s="128"/>
      <c r="J607" s="247"/>
      <c r="K607" s="128"/>
      <c r="L607" s="247"/>
      <c r="M607" s="128"/>
      <c r="N607" s="247"/>
      <c r="O607" s="128"/>
      <c r="P607" s="247"/>
      <c r="Q607" s="128"/>
      <c r="R607" s="247"/>
      <c r="S607" s="128"/>
      <c r="T607" s="247"/>
      <c r="U607" s="128"/>
      <c r="V607" s="247"/>
      <c r="W607" s="128"/>
      <c r="X607" s="247"/>
      <c r="Y607" s="128"/>
      <c r="Z607" s="247"/>
      <c r="AA607" s="128"/>
      <c r="AB607" s="247"/>
      <c r="AC607" s="128"/>
      <c r="AD607" s="247"/>
      <c r="AE607" s="128"/>
      <c r="AF607" s="247"/>
      <c r="AG607" s="128"/>
      <c r="AH607" s="247"/>
      <c r="AI607" s="128"/>
      <c r="AJ607" s="247"/>
      <c r="AK607" s="128"/>
      <c r="AL607" s="247"/>
      <c r="AM607" s="128"/>
      <c r="AN607" s="146"/>
    </row>
    <row r="608" spans="1:40" s="121" customFormat="1" ht="15" customHeight="1">
      <c r="A608" s="125" t="s">
        <v>1036</v>
      </c>
      <c r="B608" s="125" t="s">
        <v>258</v>
      </c>
      <c r="C608" s="350">
        <v>224642</v>
      </c>
      <c r="D608" s="127">
        <v>8</v>
      </c>
      <c r="E608" s="128">
        <v>1600</v>
      </c>
      <c r="F608" s="247">
        <v>1556</v>
      </c>
      <c r="G608" s="128">
        <v>2202</v>
      </c>
      <c r="H608" s="247">
        <v>2182</v>
      </c>
      <c r="I608" s="128"/>
      <c r="J608" s="247"/>
      <c r="K608" s="128"/>
      <c r="L608" s="247"/>
      <c r="M608" s="128"/>
      <c r="N608" s="247"/>
      <c r="O608" s="128"/>
      <c r="P608" s="247"/>
      <c r="Q608" s="128"/>
      <c r="R608" s="247"/>
      <c r="S608" s="128"/>
      <c r="T608" s="247"/>
      <c r="U608" s="128"/>
      <c r="V608" s="247"/>
      <c r="W608" s="128"/>
      <c r="X608" s="247"/>
      <c r="Y608" s="128"/>
      <c r="Z608" s="247"/>
      <c r="AA608" s="128"/>
      <c r="AB608" s="247"/>
      <c r="AC608" s="128"/>
      <c r="AD608" s="247"/>
      <c r="AE608" s="128"/>
      <c r="AF608" s="247"/>
      <c r="AG608" s="128"/>
      <c r="AH608" s="247"/>
      <c r="AI608" s="128"/>
      <c r="AJ608" s="247"/>
      <c r="AK608" s="128"/>
      <c r="AL608" s="247"/>
      <c r="AM608" s="128"/>
      <c r="AN608" s="146"/>
    </row>
    <row r="609" spans="1:40" s="121" customFormat="1" ht="15" customHeight="1">
      <c r="A609" s="125" t="s">
        <v>1036</v>
      </c>
      <c r="B609" s="125" t="s">
        <v>259</v>
      </c>
      <c r="C609" s="350">
        <v>225423</v>
      </c>
      <c r="D609" s="127">
        <v>8</v>
      </c>
      <c r="E609" s="128">
        <v>1458</v>
      </c>
      <c r="F609" s="247">
        <v>1176</v>
      </c>
      <c r="G609" s="128">
        <v>3678</v>
      </c>
      <c r="H609" s="247">
        <v>2952</v>
      </c>
      <c r="I609" s="128"/>
      <c r="J609" s="247"/>
      <c r="K609" s="128"/>
      <c r="L609" s="247"/>
      <c r="M609" s="128"/>
      <c r="N609" s="247"/>
      <c r="O609" s="128"/>
      <c r="P609" s="247"/>
      <c r="Q609" s="128"/>
      <c r="R609" s="247"/>
      <c r="S609" s="128"/>
      <c r="T609" s="247"/>
      <c r="U609" s="128"/>
      <c r="V609" s="247"/>
      <c r="W609" s="128"/>
      <c r="X609" s="247"/>
      <c r="Y609" s="128"/>
      <c r="Z609" s="247"/>
      <c r="AA609" s="128"/>
      <c r="AB609" s="247"/>
      <c r="AC609" s="128"/>
      <c r="AD609" s="247"/>
      <c r="AE609" s="128"/>
      <c r="AF609" s="247"/>
      <c r="AG609" s="128"/>
      <c r="AH609" s="247"/>
      <c r="AI609" s="128"/>
      <c r="AJ609" s="247"/>
      <c r="AK609" s="128"/>
      <c r="AL609" s="247"/>
      <c r="AM609" s="128"/>
      <c r="AN609" s="146"/>
    </row>
    <row r="610" spans="1:40" s="121" customFormat="1" ht="15" customHeight="1">
      <c r="A610" s="125" t="s">
        <v>1036</v>
      </c>
      <c r="B610" s="125" t="s">
        <v>260</v>
      </c>
      <c r="C610" s="350">
        <v>226134</v>
      </c>
      <c r="D610" s="127">
        <v>8</v>
      </c>
      <c r="E610" s="128">
        <v>810</v>
      </c>
      <c r="F610" s="247">
        <v>1620</v>
      </c>
      <c r="G610" s="128">
        <v>2310</v>
      </c>
      <c r="H610" s="247">
        <v>2244</v>
      </c>
      <c r="I610" s="128"/>
      <c r="J610" s="247"/>
      <c r="K610" s="128"/>
      <c r="L610" s="247"/>
      <c r="M610" s="128"/>
      <c r="N610" s="247"/>
      <c r="O610" s="128"/>
      <c r="P610" s="247"/>
      <c r="Q610" s="128"/>
      <c r="R610" s="247"/>
      <c r="S610" s="128"/>
      <c r="T610" s="247"/>
      <c r="U610" s="128"/>
      <c r="V610" s="247"/>
      <c r="W610" s="128"/>
      <c r="X610" s="247"/>
      <c r="Y610" s="128"/>
      <c r="Z610" s="247"/>
      <c r="AA610" s="128"/>
      <c r="AB610" s="247"/>
      <c r="AC610" s="128"/>
      <c r="AD610" s="247"/>
      <c r="AE610" s="128"/>
      <c r="AF610" s="247"/>
      <c r="AG610" s="128"/>
      <c r="AH610" s="247"/>
      <c r="AI610" s="128"/>
      <c r="AJ610" s="247"/>
      <c r="AK610" s="128"/>
      <c r="AL610" s="247"/>
      <c r="AM610" s="128"/>
      <c r="AN610" s="146"/>
    </row>
    <row r="611" spans="1:40" s="121" customFormat="1" ht="15" customHeight="1">
      <c r="A611" s="125" t="s">
        <v>1036</v>
      </c>
      <c r="B611" s="125" t="s">
        <v>261</v>
      </c>
      <c r="C611" s="350">
        <v>226578</v>
      </c>
      <c r="D611" s="127">
        <v>8</v>
      </c>
      <c r="E611" s="128">
        <v>1620</v>
      </c>
      <c r="F611" s="247">
        <v>1860</v>
      </c>
      <c r="G611" s="128">
        <v>3420</v>
      </c>
      <c r="H611" s="247">
        <v>3660</v>
      </c>
      <c r="I611" s="128"/>
      <c r="J611" s="247"/>
      <c r="K611" s="128"/>
      <c r="L611" s="247"/>
      <c r="M611" s="128"/>
      <c r="N611" s="247"/>
      <c r="O611" s="128"/>
      <c r="P611" s="247"/>
      <c r="Q611" s="128"/>
      <c r="R611" s="247"/>
      <c r="S611" s="128"/>
      <c r="T611" s="247"/>
      <c r="U611" s="128"/>
      <c r="V611" s="247"/>
      <c r="W611" s="128"/>
      <c r="X611" s="247"/>
      <c r="Y611" s="128"/>
      <c r="Z611" s="247"/>
      <c r="AA611" s="128"/>
      <c r="AB611" s="247"/>
      <c r="AC611" s="128"/>
      <c r="AD611" s="247"/>
      <c r="AE611" s="128"/>
      <c r="AF611" s="247"/>
      <c r="AG611" s="128"/>
      <c r="AH611" s="247"/>
      <c r="AI611" s="128"/>
      <c r="AJ611" s="247"/>
      <c r="AK611" s="128"/>
      <c r="AL611" s="247"/>
      <c r="AM611" s="128"/>
      <c r="AN611" s="146"/>
    </row>
    <row r="612" spans="1:40" s="121" customFormat="1" ht="15" customHeight="1">
      <c r="A612" s="125" t="s">
        <v>1036</v>
      </c>
      <c r="B612" s="125" t="s">
        <v>262</v>
      </c>
      <c r="C612" s="350">
        <v>227182</v>
      </c>
      <c r="D612" s="127">
        <v>8</v>
      </c>
      <c r="E612" s="128">
        <v>1248</v>
      </c>
      <c r="F612" s="247">
        <v>1264</v>
      </c>
      <c r="G612" s="128">
        <v>2898</v>
      </c>
      <c r="H612" s="247">
        <v>2914</v>
      </c>
      <c r="I612" s="128"/>
      <c r="J612" s="247"/>
      <c r="K612" s="128"/>
      <c r="L612" s="247"/>
      <c r="M612" s="128"/>
      <c r="N612" s="247"/>
      <c r="O612" s="128"/>
      <c r="P612" s="247"/>
      <c r="Q612" s="128"/>
      <c r="R612" s="247"/>
      <c r="S612" s="128"/>
      <c r="T612" s="247"/>
      <c r="U612" s="128"/>
      <c r="V612" s="247"/>
      <c r="W612" s="128"/>
      <c r="X612" s="247"/>
      <c r="Y612" s="128"/>
      <c r="Z612" s="247"/>
      <c r="AA612" s="128"/>
      <c r="AB612" s="247"/>
      <c r="AC612" s="128"/>
      <c r="AD612" s="247"/>
      <c r="AE612" s="128"/>
      <c r="AF612" s="247"/>
      <c r="AG612" s="128"/>
      <c r="AH612" s="247"/>
      <c r="AI612" s="128"/>
      <c r="AJ612" s="247"/>
      <c r="AK612" s="128"/>
      <c r="AL612" s="247"/>
      <c r="AM612" s="128"/>
      <c r="AN612" s="146"/>
    </row>
    <row r="613" spans="1:40" s="121" customFormat="1" ht="15" customHeight="1">
      <c r="A613" s="125" t="s">
        <v>1036</v>
      </c>
      <c r="B613" s="125" t="s">
        <v>263</v>
      </c>
      <c r="C613" s="350">
        <v>227191</v>
      </c>
      <c r="D613" s="127">
        <v>8</v>
      </c>
      <c r="E613" s="128">
        <v>900</v>
      </c>
      <c r="F613" s="247">
        <v>900</v>
      </c>
      <c r="G613" s="128">
        <v>2400</v>
      </c>
      <c r="H613" s="247">
        <v>2400</v>
      </c>
      <c r="I613" s="128"/>
      <c r="J613" s="247"/>
      <c r="K613" s="128"/>
      <c r="L613" s="247"/>
      <c r="M613" s="128"/>
      <c r="N613" s="247"/>
      <c r="O613" s="128"/>
      <c r="P613" s="247"/>
      <c r="Q613" s="128"/>
      <c r="R613" s="247"/>
      <c r="S613" s="128"/>
      <c r="T613" s="247"/>
      <c r="U613" s="128"/>
      <c r="V613" s="247"/>
      <c r="W613" s="128"/>
      <c r="X613" s="247"/>
      <c r="Y613" s="128"/>
      <c r="Z613" s="247"/>
      <c r="AA613" s="128"/>
      <c r="AB613" s="247"/>
      <c r="AC613" s="128"/>
      <c r="AD613" s="247"/>
      <c r="AE613" s="128"/>
      <c r="AF613" s="247"/>
      <c r="AG613" s="128"/>
      <c r="AH613" s="247"/>
      <c r="AI613" s="128"/>
      <c r="AJ613" s="247"/>
      <c r="AK613" s="128"/>
      <c r="AL613" s="247"/>
      <c r="AM613" s="128"/>
      <c r="AN613" s="146"/>
    </row>
    <row r="614" spans="1:40" s="121" customFormat="1" ht="15" customHeight="1">
      <c r="A614" s="125" t="s">
        <v>1036</v>
      </c>
      <c r="B614" s="125" t="s">
        <v>264</v>
      </c>
      <c r="C614" s="350">
        <v>227766</v>
      </c>
      <c r="D614" s="127">
        <v>8</v>
      </c>
      <c r="E614" s="128">
        <v>900</v>
      </c>
      <c r="F614" s="247">
        <v>900</v>
      </c>
      <c r="G614" s="128">
        <v>2400</v>
      </c>
      <c r="H614" s="247">
        <v>2400</v>
      </c>
      <c r="I614" s="128"/>
      <c r="J614" s="247"/>
      <c r="K614" s="128"/>
      <c r="L614" s="247"/>
      <c r="M614" s="128"/>
      <c r="N614" s="247"/>
      <c r="O614" s="128"/>
      <c r="P614" s="247"/>
      <c r="Q614" s="128"/>
      <c r="R614" s="247"/>
      <c r="S614" s="128"/>
      <c r="T614" s="247"/>
      <c r="U614" s="128"/>
      <c r="V614" s="247"/>
      <c r="W614" s="128"/>
      <c r="X614" s="247"/>
      <c r="Y614" s="128"/>
      <c r="Z614" s="247"/>
      <c r="AA614" s="128"/>
      <c r="AB614" s="247"/>
      <c r="AC614" s="128"/>
      <c r="AD614" s="247"/>
      <c r="AE614" s="128"/>
      <c r="AF614" s="247"/>
      <c r="AG614" s="128"/>
      <c r="AH614" s="247"/>
      <c r="AI614" s="128"/>
      <c r="AJ614" s="247"/>
      <c r="AK614" s="128"/>
      <c r="AL614" s="247"/>
      <c r="AM614" s="128"/>
      <c r="AN614" s="146"/>
    </row>
    <row r="615" spans="1:40" s="121" customFormat="1" ht="15" customHeight="1">
      <c r="A615" s="125" t="s">
        <v>1036</v>
      </c>
      <c r="B615" s="125" t="s">
        <v>265</v>
      </c>
      <c r="C615" s="350">
        <v>227924</v>
      </c>
      <c r="D615" s="127">
        <v>8</v>
      </c>
      <c r="E615" s="128">
        <v>1312</v>
      </c>
      <c r="F615" s="247">
        <v>1398</v>
      </c>
      <c r="G615" s="128">
        <v>4576</v>
      </c>
      <c r="H615" s="247">
        <v>4818</v>
      </c>
      <c r="I615" s="128"/>
      <c r="J615" s="247"/>
      <c r="K615" s="128"/>
      <c r="L615" s="247"/>
      <c r="M615" s="128"/>
      <c r="N615" s="247"/>
      <c r="O615" s="128"/>
      <c r="P615" s="247"/>
      <c r="Q615" s="128"/>
      <c r="R615" s="247"/>
      <c r="S615" s="128"/>
      <c r="T615" s="247"/>
      <c r="U615" s="128"/>
      <c r="V615" s="247"/>
      <c r="W615" s="128"/>
      <c r="X615" s="247"/>
      <c r="Y615" s="128"/>
      <c r="Z615" s="247"/>
      <c r="AA615" s="128"/>
      <c r="AB615" s="247"/>
      <c r="AC615" s="128"/>
      <c r="AD615" s="247"/>
      <c r="AE615" s="128"/>
      <c r="AF615" s="247"/>
      <c r="AG615" s="128"/>
      <c r="AH615" s="247"/>
      <c r="AI615" s="128"/>
      <c r="AJ615" s="247"/>
      <c r="AK615" s="128"/>
      <c r="AL615" s="247"/>
      <c r="AM615" s="128"/>
      <c r="AN615" s="146"/>
    </row>
    <row r="616" spans="1:40" s="121" customFormat="1" ht="15" customHeight="1">
      <c r="A616" s="125" t="s">
        <v>1036</v>
      </c>
      <c r="B616" s="125" t="s">
        <v>266</v>
      </c>
      <c r="C616" s="350">
        <v>227979</v>
      </c>
      <c r="D616" s="127">
        <v>8</v>
      </c>
      <c r="E616" s="128">
        <v>780</v>
      </c>
      <c r="F616" s="247">
        <v>1160</v>
      </c>
      <c r="G616" s="128">
        <v>2160</v>
      </c>
      <c r="H616" s="247">
        <v>2510</v>
      </c>
      <c r="I616" s="128"/>
      <c r="J616" s="247"/>
      <c r="K616" s="128"/>
      <c r="L616" s="247"/>
      <c r="M616" s="128"/>
      <c r="N616" s="247"/>
      <c r="O616" s="128"/>
      <c r="P616" s="247"/>
      <c r="Q616" s="128"/>
      <c r="R616" s="247"/>
      <c r="S616" s="128"/>
      <c r="T616" s="247"/>
      <c r="U616" s="128"/>
      <c r="V616" s="247"/>
      <c r="W616" s="128"/>
      <c r="X616" s="247"/>
      <c r="Y616" s="128"/>
      <c r="Z616" s="247"/>
      <c r="AA616" s="128"/>
      <c r="AB616" s="247"/>
      <c r="AC616" s="128"/>
      <c r="AD616" s="247"/>
      <c r="AE616" s="128"/>
      <c r="AF616" s="247"/>
      <c r="AG616" s="128"/>
      <c r="AH616" s="247"/>
      <c r="AI616" s="128"/>
      <c r="AJ616" s="247"/>
      <c r="AK616" s="128"/>
      <c r="AL616" s="247"/>
      <c r="AM616" s="128"/>
      <c r="AN616" s="146"/>
    </row>
    <row r="617" spans="1:40" s="121" customFormat="1" ht="15" customHeight="1">
      <c r="A617" s="125" t="s">
        <v>1036</v>
      </c>
      <c r="B617" s="125" t="s">
        <v>267</v>
      </c>
      <c r="C617" s="350">
        <v>228158</v>
      </c>
      <c r="D617" s="127">
        <v>8</v>
      </c>
      <c r="E617" s="128">
        <v>960</v>
      </c>
      <c r="F617" s="247">
        <v>1712</v>
      </c>
      <c r="G617" s="128">
        <v>1860</v>
      </c>
      <c r="H617" s="247">
        <v>2852</v>
      </c>
      <c r="I617" s="128"/>
      <c r="J617" s="247"/>
      <c r="K617" s="128"/>
      <c r="L617" s="247"/>
      <c r="M617" s="128"/>
      <c r="N617" s="247"/>
      <c r="O617" s="128"/>
      <c r="P617" s="247"/>
      <c r="Q617" s="128"/>
      <c r="R617" s="247"/>
      <c r="S617" s="128"/>
      <c r="T617" s="247"/>
      <c r="U617" s="128"/>
      <c r="V617" s="247"/>
      <c r="W617" s="128"/>
      <c r="X617" s="247"/>
      <c r="Y617" s="128"/>
      <c r="Z617" s="247"/>
      <c r="AA617" s="128"/>
      <c r="AB617" s="247"/>
      <c r="AC617" s="128"/>
      <c r="AD617" s="247"/>
      <c r="AE617" s="128"/>
      <c r="AF617" s="247"/>
      <c r="AG617" s="128"/>
      <c r="AH617" s="247"/>
      <c r="AI617" s="128"/>
      <c r="AJ617" s="247"/>
      <c r="AK617" s="128"/>
      <c r="AL617" s="247"/>
      <c r="AM617" s="128"/>
      <c r="AN617" s="146"/>
    </row>
    <row r="618" spans="1:40" s="121" customFormat="1" ht="15" customHeight="1">
      <c r="A618" s="125" t="s">
        <v>1036</v>
      </c>
      <c r="B618" s="125" t="s">
        <v>268</v>
      </c>
      <c r="C618" s="350">
        <v>409315</v>
      </c>
      <c r="D618" s="127">
        <v>8</v>
      </c>
      <c r="E618" s="128">
        <v>1608</v>
      </c>
      <c r="F618" s="247">
        <v>1532</v>
      </c>
      <c r="G618" s="128">
        <v>3526</v>
      </c>
      <c r="H618" s="247">
        <v>3450</v>
      </c>
      <c r="I618" s="128"/>
      <c r="J618" s="247"/>
      <c r="K618" s="128"/>
      <c r="L618" s="247"/>
      <c r="M618" s="128"/>
      <c r="N618" s="247"/>
      <c r="O618" s="128"/>
      <c r="P618" s="247"/>
      <c r="Q618" s="128"/>
      <c r="R618" s="247"/>
      <c r="S618" s="128"/>
      <c r="T618" s="247"/>
      <c r="U618" s="128"/>
      <c r="V618" s="247"/>
      <c r="W618" s="128"/>
      <c r="X618" s="247"/>
      <c r="Y618" s="128"/>
      <c r="Z618" s="247"/>
      <c r="AA618" s="128"/>
      <c r="AB618" s="247"/>
      <c r="AC618" s="128"/>
      <c r="AD618" s="247"/>
      <c r="AE618" s="128"/>
      <c r="AF618" s="247"/>
      <c r="AG618" s="128"/>
      <c r="AH618" s="247"/>
      <c r="AI618" s="128"/>
      <c r="AJ618" s="247"/>
      <c r="AK618" s="128"/>
      <c r="AL618" s="247"/>
      <c r="AM618" s="128"/>
      <c r="AN618" s="146"/>
    </row>
    <row r="619" spans="1:40" s="121" customFormat="1" ht="15" customHeight="1">
      <c r="A619" s="125" t="s">
        <v>1036</v>
      </c>
      <c r="B619" s="125" t="s">
        <v>269</v>
      </c>
      <c r="C619" s="350">
        <v>227854</v>
      </c>
      <c r="D619" s="127">
        <v>8</v>
      </c>
      <c r="E619" s="128">
        <v>1312</v>
      </c>
      <c r="F619" s="247">
        <v>1398</v>
      </c>
      <c r="G619" s="128">
        <v>4576</v>
      </c>
      <c r="H619" s="247">
        <v>4818</v>
      </c>
      <c r="I619" s="128"/>
      <c r="J619" s="247"/>
      <c r="K619" s="128"/>
      <c r="L619" s="247"/>
      <c r="M619" s="128"/>
      <c r="N619" s="247"/>
      <c r="O619" s="128"/>
      <c r="P619" s="247"/>
      <c r="Q619" s="128"/>
      <c r="R619" s="247"/>
      <c r="S619" s="128"/>
      <c r="T619" s="247"/>
      <c r="U619" s="128"/>
      <c r="V619" s="247"/>
      <c r="W619" s="128"/>
      <c r="X619" s="247"/>
      <c r="Y619" s="128"/>
      <c r="Z619" s="247"/>
      <c r="AA619" s="128"/>
      <c r="AB619" s="247"/>
      <c r="AC619" s="128"/>
      <c r="AD619" s="247"/>
      <c r="AE619" s="128"/>
      <c r="AF619" s="247"/>
      <c r="AG619" s="128"/>
      <c r="AH619" s="247"/>
      <c r="AI619" s="128"/>
      <c r="AJ619" s="247"/>
      <c r="AK619" s="128"/>
      <c r="AL619" s="247"/>
      <c r="AM619" s="128"/>
      <c r="AN619" s="146"/>
    </row>
    <row r="620" spans="1:40" s="121" customFormat="1" ht="15" customHeight="1">
      <c r="A620" s="125" t="s">
        <v>1036</v>
      </c>
      <c r="B620" s="125" t="s">
        <v>270</v>
      </c>
      <c r="C620" s="350">
        <v>228547</v>
      </c>
      <c r="D620" s="127">
        <v>8</v>
      </c>
      <c r="E620" s="128">
        <v>978</v>
      </c>
      <c r="F620" s="247">
        <v>1380</v>
      </c>
      <c r="G620" s="128">
        <v>4248</v>
      </c>
      <c r="H620" s="247">
        <v>4500</v>
      </c>
      <c r="I620" s="128"/>
      <c r="J620" s="247"/>
      <c r="K620" s="128"/>
      <c r="L620" s="247"/>
      <c r="M620" s="128"/>
      <c r="N620" s="247"/>
      <c r="O620" s="128"/>
      <c r="P620" s="247"/>
      <c r="Q620" s="128"/>
      <c r="R620" s="247"/>
      <c r="S620" s="128"/>
      <c r="T620" s="247"/>
      <c r="U620" s="128"/>
      <c r="V620" s="247"/>
      <c r="W620" s="128"/>
      <c r="X620" s="247"/>
      <c r="Y620" s="128"/>
      <c r="Z620" s="247"/>
      <c r="AA620" s="128"/>
      <c r="AB620" s="247"/>
      <c r="AC620" s="128"/>
      <c r="AD620" s="247"/>
      <c r="AE620" s="128"/>
      <c r="AF620" s="247"/>
      <c r="AG620" s="128"/>
      <c r="AH620" s="247"/>
      <c r="AI620" s="128"/>
      <c r="AJ620" s="247"/>
      <c r="AK620" s="128"/>
      <c r="AL620" s="247"/>
      <c r="AM620" s="128"/>
      <c r="AN620" s="146"/>
    </row>
    <row r="621" spans="1:40" s="121" customFormat="1" ht="15" customHeight="1">
      <c r="A621" s="125" t="s">
        <v>1036</v>
      </c>
      <c r="B621" s="125" t="s">
        <v>271</v>
      </c>
      <c r="C621" s="350">
        <v>229072</v>
      </c>
      <c r="D621" s="127">
        <v>8</v>
      </c>
      <c r="E621" s="128">
        <v>2546</v>
      </c>
      <c r="F621" s="247">
        <v>3054</v>
      </c>
      <c r="G621" s="128">
        <v>10166</v>
      </c>
      <c r="H621" s="247">
        <v>11193</v>
      </c>
      <c r="I621" s="128"/>
      <c r="J621" s="247"/>
      <c r="K621" s="128"/>
      <c r="L621" s="247"/>
      <c r="M621" s="128"/>
      <c r="N621" s="247"/>
      <c r="O621" s="128"/>
      <c r="P621" s="247"/>
      <c r="Q621" s="128"/>
      <c r="R621" s="247"/>
      <c r="S621" s="128"/>
      <c r="T621" s="247"/>
      <c r="U621" s="128"/>
      <c r="V621" s="247"/>
      <c r="W621" s="128"/>
      <c r="X621" s="247"/>
      <c r="Y621" s="128"/>
      <c r="Z621" s="247"/>
      <c r="AA621" s="128"/>
      <c r="AB621" s="247"/>
      <c r="AC621" s="128"/>
      <c r="AD621" s="247"/>
      <c r="AE621" s="128"/>
      <c r="AF621" s="247"/>
      <c r="AG621" s="128"/>
      <c r="AH621" s="247"/>
      <c r="AI621" s="128"/>
      <c r="AJ621" s="247"/>
      <c r="AK621" s="128"/>
      <c r="AL621" s="247"/>
      <c r="AM621" s="128"/>
      <c r="AN621" s="146"/>
    </row>
    <row r="622" spans="1:40" s="121" customFormat="1" ht="15" customHeight="1">
      <c r="A622" s="125" t="s">
        <v>1036</v>
      </c>
      <c r="B622" s="125" t="s">
        <v>272</v>
      </c>
      <c r="C622" s="350">
        <v>229355</v>
      </c>
      <c r="D622" s="127">
        <v>8</v>
      </c>
      <c r="E622" s="128">
        <v>2142</v>
      </c>
      <c r="F622" s="247">
        <v>1460</v>
      </c>
      <c r="G622" s="128">
        <v>3222</v>
      </c>
      <c r="H622" s="247">
        <v>2630</v>
      </c>
      <c r="I622" s="128"/>
      <c r="J622" s="247"/>
      <c r="K622" s="128"/>
      <c r="L622" s="247"/>
      <c r="M622" s="128"/>
      <c r="N622" s="247"/>
      <c r="O622" s="128"/>
      <c r="P622" s="247"/>
      <c r="Q622" s="128"/>
      <c r="R622" s="247"/>
      <c r="S622" s="128"/>
      <c r="T622" s="247"/>
      <c r="U622" s="128"/>
      <c r="V622" s="247"/>
      <c r="W622" s="128"/>
      <c r="X622" s="247"/>
      <c r="Y622" s="128"/>
      <c r="Z622" s="247"/>
      <c r="AA622" s="128"/>
      <c r="AB622" s="247"/>
      <c r="AC622" s="128"/>
      <c r="AD622" s="247"/>
      <c r="AE622" s="128"/>
      <c r="AF622" s="247"/>
      <c r="AG622" s="128"/>
      <c r="AH622" s="247"/>
      <c r="AI622" s="128"/>
      <c r="AJ622" s="247"/>
      <c r="AK622" s="128"/>
      <c r="AL622" s="247"/>
      <c r="AM622" s="128"/>
      <c r="AN622" s="146"/>
    </row>
    <row r="623" spans="1:40" s="121" customFormat="1" ht="15" customHeight="1">
      <c r="A623" s="125" t="s">
        <v>1036</v>
      </c>
      <c r="B623" s="125" t="s">
        <v>273</v>
      </c>
      <c r="C623" s="350">
        <v>222567</v>
      </c>
      <c r="D623" s="127">
        <v>9</v>
      </c>
      <c r="E623" s="128">
        <v>1278</v>
      </c>
      <c r="F623" s="247">
        <v>1086</v>
      </c>
      <c r="G623" s="128">
        <v>3378</v>
      </c>
      <c r="H623" s="247">
        <v>3186</v>
      </c>
      <c r="I623" s="128"/>
      <c r="J623" s="247"/>
      <c r="K623" s="128"/>
      <c r="L623" s="247"/>
      <c r="M623" s="128"/>
      <c r="N623" s="247"/>
      <c r="O623" s="128"/>
      <c r="P623" s="247"/>
      <c r="Q623" s="128"/>
      <c r="R623" s="247"/>
      <c r="S623" s="128"/>
      <c r="T623" s="247"/>
      <c r="U623" s="128"/>
      <c r="V623" s="247"/>
      <c r="W623" s="128"/>
      <c r="X623" s="247"/>
      <c r="Y623" s="128"/>
      <c r="Z623" s="247"/>
      <c r="AA623" s="128"/>
      <c r="AB623" s="247"/>
      <c r="AC623" s="128"/>
      <c r="AD623" s="247"/>
      <c r="AE623" s="128"/>
      <c r="AF623" s="247"/>
      <c r="AG623" s="128"/>
      <c r="AH623" s="247"/>
      <c r="AI623" s="128"/>
      <c r="AJ623" s="247"/>
      <c r="AK623" s="128"/>
      <c r="AL623" s="247"/>
      <c r="AM623" s="128"/>
      <c r="AN623" s="146"/>
    </row>
    <row r="624" spans="1:40" s="121" customFormat="1" ht="15" customHeight="1">
      <c r="A624" s="125" t="s">
        <v>1036</v>
      </c>
      <c r="B624" s="125" t="s">
        <v>274</v>
      </c>
      <c r="C624" s="350">
        <v>222822</v>
      </c>
      <c r="D624" s="127">
        <v>9</v>
      </c>
      <c r="E624" s="128">
        <v>690</v>
      </c>
      <c r="F624" s="247">
        <v>960</v>
      </c>
      <c r="G624" s="128">
        <v>690</v>
      </c>
      <c r="H624" s="247">
        <v>2010</v>
      </c>
      <c r="I624" s="128"/>
      <c r="J624" s="247"/>
      <c r="K624" s="128"/>
      <c r="L624" s="247"/>
      <c r="M624" s="128"/>
      <c r="N624" s="247"/>
      <c r="O624" s="128"/>
      <c r="P624" s="247"/>
      <c r="Q624" s="128"/>
      <c r="R624" s="247"/>
      <c r="S624" s="128"/>
      <c r="T624" s="247"/>
      <c r="U624" s="128"/>
      <c r="V624" s="247"/>
      <c r="W624" s="128"/>
      <c r="X624" s="247"/>
      <c r="Y624" s="128"/>
      <c r="Z624" s="247"/>
      <c r="AA624" s="128"/>
      <c r="AB624" s="247"/>
      <c r="AC624" s="128"/>
      <c r="AD624" s="247"/>
      <c r="AE624" s="128"/>
      <c r="AF624" s="247"/>
      <c r="AG624" s="128"/>
      <c r="AH624" s="247"/>
      <c r="AI624" s="128"/>
      <c r="AJ624" s="247"/>
      <c r="AK624" s="128"/>
      <c r="AL624" s="247"/>
      <c r="AM624" s="128"/>
      <c r="AN624" s="146"/>
    </row>
    <row r="625" spans="1:40" s="121" customFormat="1" ht="15" customHeight="1">
      <c r="A625" s="125" t="s">
        <v>1036</v>
      </c>
      <c r="B625" s="125" t="s">
        <v>275</v>
      </c>
      <c r="C625" s="350">
        <v>223506</v>
      </c>
      <c r="D625" s="127">
        <v>9</v>
      </c>
      <c r="E625" s="128">
        <v>720</v>
      </c>
      <c r="F625" s="247">
        <v>1140</v>
      </c>
      <c r="G625" s="128">
        <v>2640</v>
      </c>
      <c r="H625" s="247">
        <v>3180</v>
      </c>
      <c r="I625" s="128"/>
      <c r="J625" s="247"/>
      <c r="K625" s="128"/>
      <c r="L625" s="247"/>
      <c r="M625" s="128"/>
      <c r="N625" s="247"/>
      <c r="O625" s="128"/>
      <c r="P625" s="247"/>
      <c r="Q625" s="128"/>
      <c r="R625" s="247"/>
      <c r="S625" s="128"/>
      <c r="T625" s="247"/>
      <c r="U625" s="128"/>
      <c r="V625" s="247"/>
      <c r="W625" s="128"/>
      <c r="X625" s="247"/>
      <c r="Y625" s="128"/>
      <c r="Z625" s="247"/>
      <c r="AA625" s="128"/>
      <c r="AB625" s="247"/>
      <c r="AC625" s="128"/>
      <c r="AD625" s="247"/>
      <c r="AE625" s="128"/>
      <c r="AF625" s="247"/>
      <c r="AG625" s="128"/>
      <c r="AH625" s="247"/>
      <c r="AI625" s="128"/>
      <c r="AJ625" s="247"/>
      <c r="AK625" s="128"/>
      <c r="AL625" s="247"/>
      <c r="AM625" s="128"/>
      <c r="AN625" s="146"/>
    </row>
    <row r="626" spans="1:40" s="121" customFormat="1" ht="15" customHeight="1">
      <c r="A626" s="125" t="s">
        <v>1036</v>
      </c>
      <c r="B626" s="125" t="s">
        <v>276</v>
      </c>
      <c r="C626" s="350">
        <v>223773</v>
      </c>
      <c r="D626" s="127">
        <v>9</v>
      </c>
      <c r="E626" s="128">
        <v>900</v>
      </c>
      <c r="F626" s="247">
        <v>900</v>
      </c>
      <c r="G626" s="128">
        <v>2400</v>
      </c>
      <c r="H626" s="247">
        <v>2400</v>
      </c>
      <c r="I626" s="128"/>
      <c r="J626" s="247"/>
      <c r="K626" s="128"/>
      <c r="L626" s="247"/>
      <c r="M626" s="128"/>
      <c r="N626" s="247"/>
      <c r="O626" s="128"/>
      <c r="P626" s="247"/>
      <c r="Q626" s="128"/>
      <c r="R626" s="247"/>
      <c r="S626" s="128"/>
      <c r="T626" s="247"/>
      <c r="U626" s="128"/>
      <c r="V626" s="247"/>
      <c r="W626" s="128"/>
      <c r="X626" s="247"/>
      <c r="Y626" s="128"/>
      <c r="Z626" s="247"/>
      <c r="AA626" s="128"/>
      <c r="AB626" s="247"/>
      <c r="AC626" s="128"/>
      <c r="AD626" s="247"/>
      <c r="AE626" s="128"/>
      <c r="AF626" s="247"/>
      <c r="AG626" s="128"/>
      <c r="AH626" s="247"/>
      <c r="AI626" s="128"/>
      <c r="AJ626" s="247"/>
      <c r="AK626" s="128"/>
      <c r="AL626" s="247"/>
      <c r="AM626" s="128"/>
      <c r="AN626" s="146"/>
    </row>
    <row r="627" spans="1:40" s="121" customFormat="1" ht="15" customHeight="1">
      <c r="A627" s="125" t="s">
        <v>1036</v>
      </c>
      <c r="B627" s="125" t="s">
        <v>277</v>
      </c>
      <c r="C627" s="350">
        <v>223898</v>
      </c>
      <c r="D627" s="127">
        <v>9</v>
      </c>
      <c r="E627" s="128">
        <v>760</v>
      </c>
      <c r="F627" s="247">
        <v>2080</v>
      </c>
      <c r="G627" s="128">
        <v>1066</v>
      </c>
      <c r="H627" s="247">
        <v>2566</v>
      </c>
      <c r="I627" s="128"/>
      <c r="J627" s="247"/>
      <c r="K627" s="128"/>
      <c r="L627" s="247"/>
      <c r="M627" s="128"/>
      <c r="N627" s="247"/>
      <c r="O627" s="128"/>
      <c r="P627" s="247"/>
      <c r="Q627" s="128"/>
      <c r="R627" s="247"/>
      <c r="S627" s="128"/>
      <c r="T627" s="247"/>
      <c r="U627" s="128"/>
      <c r="V627" s="247"/>
      <c r="W627" s="128"/>
      <c r="X627" s="247"/>
      <c r="Y627" s="128"/>
      <c r="Z627" s="247"/>
      <c r="AA627" s="128"/>
      <c r="AB627" s="247"/>
      <c r="AC627" s="128"/>
      <c r="AD627" s="247"/>
      <c r="AE627" s="128"/>
      <c r="AF627" s="247"/>
      <c r="AG627" s="128"/>
      <c r="AH627" s="247"/>
      <c r="AI627" s="128"/>
      <c r="AJ627" s="247"/>
      <c r="AK627" s="128"/>
      <c r="AL627" s="247"/>
      <c r="AM627" s="128"/>
      <c r="AN627" s="146"/>
    </row>
    <row r="628" spans="1:40" s="121" customFormat="1" ht="15" customHeight="1">
      <c r="A628" s="125" t="s">
        <v>1036</v>
      </c>
      <c r="B628" s="125" t="s">
        <v>278</v>
      </c>
      <c r="C628" s="350">
        <v>223320</v>
      </c>
      <c r="D628" s="127">
        <v>9</v>
      </c>
      <c r="E628" s="128">
        <v>1345</v>
      </c>
      <c r="F628" s="247">
        <v>1520</v>
      </c>
      <c r="G628" s="128">
        <v>2425</v>
      </c>
      <c r="H628" s="247">
        <v>1850</v>
      </c>
      <c r="I628" s="128"/>
      <c r="J628" s="247"/>
      <c r="K628" s="128"/>
      <c r="L628" s="247"/>
      <c r="M628" s="128"/>
      <c r="N628" s="247"/>
      <c r="O628" s="128"/>
      <c r="P628" s="247"/>
      <c r="Q628" s="128"/>
      <c r="R628" s="247"/>
      <c r="S628" s="128"/>
      <c r="T628" s="247"/>
      <c r="U628" s="128"/>
      <c r="V628" s="247"/>
      <c r="W628" s="128"/>
      <c r="X628" s="247"/>
      <c r="Y628" s="128"/>
      <c r="Z628" s="247"/>
      <c r="AA628" s="128"/>
      <c r="AB628" s="247"/>
      <c r="AC628" s="128"/>
      <c r="AD628" s="247"/>
      <c r="AE628" s="128"/>
      <c r="AF628" s="247"/>
      <c r="AG628" s="128"/>
      <c r="AH628" s="247"/>
      <c r="AI628" s="128"/>
      <c r="AJ628" s="247"/>
      <c r="AK628" s="128"/>
      <c r="AL628" s="247"/>
      <c r="AM628" s="128"/>
      <c r="AN628" s="146"/>
    </row>
    <row r="629" spans="1:40" s="121" customFormat="1" ht="15" customHeight="1">
      <c r="A629" s="125" t="s">
        <v>1036</v>
      </c>
      <c r="B629" s="125" t="s">
        <v>279</v>
      </c>
      <c r="C629" s="350">
        <v>226408</v>
      </c>
      <c r="D629" s="127">
        <v>9</v>
      </c>
      <c r="E629" s="128">
        <v>790</v>
      </c>
      <c r="F629" s="247">
        <v>896</v>
      </c>
      <c r="G629" s="128">
        <v>790</v>
      </c>
      <c r="H629" s="247">
        <v>2696</v>
      </c>
      <c r="I629" s="128"/>
      <c r="J629" s="247"/>
      <c r="K629" s="128"/>
      <c r="L629" s="247"/>
      <c r="M629" s="128"/>
      <c r="N629" s="247"/>
      <c r="O629" s="128"/>
      <c r="P629" s="247"/>
      <c r="Q629" s="128"/>
      <c r="R629" s="247"/>
      <c r="S629" s="128"/>
      <c r="T629" s="247"/>
      <c r="U629" s="128"/>
      <c r="V629" s="247"/>
      <c r="W629" s="128"/>
      <c r="X629" s="247"/>
      <c r="Y629" s="128"/>
      <c r="Z629" s="247"/>
      <c r="AA629" s="128"/>
      <c r="AB629" s="247"/>
      <c r="AC629" s="128"/>
      <c r="AD629" s="247"/>
      <c r="AE629" s="128"/>
      <c r="AF629" s="247"/>
      <c r="AG629" s="128"/>
      <c r="AH629" s="247"/>
      <c r="AI629" s="128"/>
      <c r="AJ629" s="247"/>
      <c r="AK629" s="128"/>
      <c r="AL629" s="247"/>
      <c r="AM629" s="128"/>
      <c r="AN629" s="146"/>
    </row>
    <row r="630" spans="1:40" s="121" customFormat="1" ht="15" customHeight="1">
      <c r="A630" s="125" t="s">
        <v>1036</v>
      </c>
      <c r="B630" s="125" t="s">
        <v>280</v>
      </c>
      <c r="C630" s="350">
        <v>224615</v>
      </c>
      <c r="D630" s="127">
        <v>9</v>
      </c>
      <c r="E630" s="128">
        <v>900</v>
      </c>
      <c r="F630" s="247">
        <v>900</v>
      </c>
      <c r="G630" s="128">
        <v>2400</v>
      </c>
      <c r="H630" s="247">
        <v>2400</v>
      </c>
      <c r="I630" s="128"/>
      <c r="J630" s="247"/>
      <c r="K630" s="128"/>
      <c r="L630" s="247"/>
      <c r="M630" s="128"/>
      <c r="N630" s="247"/>
      <c r="O630" s="128"/>
      <c r="P630" s="247"/>
      <c r="Q630" s="128"/>
      <c r="R630" s="247"/>
      <c r="S630" s="128"/>
      <c r="T630" s="247"/>
      <c r="U630" s="128"/>
      <c r="V630" s="247"/>
      <c r="W630" s="128"/>
      <c r="X630" s="247"/>
      <c r="Y630" s="128"/>
      <c r="Z630" s="247"/>
      <c r="AA630" s="128"/>
      <c r="AB630" s="247"/>
      <c r="AC630" s="128"/>
      <c r="AD630" s="247"/>
      <c r="AE630" s="128"/>
      <c r="AF630" s="247"/>
      <c r="AG630" s="128"/>
      <c r="AH630" s="247"/>
      <c r="AI630" s="128"/>
      <c r="AJ630" s="247"/>
      <c r="AK630" s="128"/>
      <c r="AL630" s="247"/>
      <c r="AM630" s="128"/>
      <c r="AN630" s="146"/>
    </row>
    <row r="631" spans="1:40" s="121" customFormat="1" ht="15" customHeight="1">
      <c r="A631" s="125" t="s">
        <v>1036</v>
      </c>
      <c r="B631" s="125" t="s">
        <v>281</v>
      </c>
      <c r="C631" s="350">
        <v>225070</v>
      </c>
      <c r="D631" s="127">
        <v>9</v>
      </c>
      <c r="E631" s="128">
        <v>1284</v>
      </c>
      <c r="F631" s="247">
        <v>1200</v>
      </c>
      <c r="G631" s="128">
        <v>2424</v>
      </c>
      <c r="H631" s="247">
        <v>2520</v>
      </c>
      <c r="I631" s="128"/>
      <c r="J631" s="247"/>
      <c r="K631" s="128"/>
      <c r="L631" s="247"/>
      <c r="M631" s="128"/>
      <c r="N631" s="247"/>
      <c r="O631" s="128"/>
      <c r="P631" s="247"/>
      <c r="Q631" s="128"/>
      <c r="R631" s="247"/>
      <c r="S631" s="128"/>
      <c r="T631" s="247"/>
      <c r="U631" s="128"/>
      <c r="V631" s="247"/>
      <c r="W631" s="128"/>
      <c r="X631" s="247"/>
      <c r="Y631" s="128"/>
      <c r="Z631" s="247"/>
      <c r="AA631" s="128"/>
      <c r="AB631" s="247"/>
      <c r="AC631" s="128"/>
      <c r="AD631" s="247"/>
      <c r="AE631" s="128"/>
      <c r="AF631" s="247"/>
      <c r="AG631" s="128"/>
      <c r="AH631" s="247"/>
      <c r="AI631" s="128"/>
      <c r="AJ631" s="247"/>
      <c r="AK631" s="128"/>
      <c r="AL631" s="247"/>
      <c r="AM631" s="128"/>
      <c r="AN631" s="146"/>
    </row>
    <row r="632" spans="1:40" s="121" customFormat="1" ht="15" customHeight="1">
      <c r="A632" s="125" t="s">
        <v>1036</v>
      </c>
      <c r="B632" s="125" t="s">
        <v>282</v>
      </c>
      <c r="C632" s="350">
        <v>225371</v>
      </c>
      <c r="D632" s="127">
        <v>9</v>
      </c>
      <c r="E632" s="128">
        <v>994</v>
      </c>
      <c r="F632" s="247">
        <v>1550</v>
      </c>
      <c r="G632" s="128">
        <v>1634</v>
      </c>
      <c r="H632" s="247">
        <v>1950</v>
      </c>
      <c r="I632" s="128"/>
      <c r="J632" s="247"/>
      <c r="K632" s="128"/>
      <c r="L632" s="247"/>
      <c r="M632" s="128"/>
      <c r="N632" s="247"/>
      <c r="O632" s="128"/>
      <c r="P632" s="247"/>
      <c r="Q632" s="128"/>
      <c r="R632" s="247"/>
      <c r="S632" s="128"/>
      <c r="T632" s="247"/>
      <c r="U632" s="128"/>
      <c r="V632" s="247"/>
      <c r="W632" s="128"/>
      <c r="X632" s="247"/>
      <c r="Y632" s="128"/>
      <c r="Z632" s="247"/>
      <c r="AA632" s="128"/>
      <c r="AB632" s="247"/>
      <c r="AC632" s="128"/>
      <c r="AD632" s="247"/>
      <c r="AE632" s="128"/>
      <c r="AF632" s="247"/>
      <c r="AG632" s="128"/>
      <c r="AH632" s="247"/>
      <c r="AI632" s="128"/>
      <c r="AJ632" s="247"/>
      <c r="AK632" s="128"/>
      <c r="AL632" s="247"/>
      <c r="AM632" s="128"/>
      <c r="AN632" s="146"/>
    </row>
    <row r="633" spans="1:40" s="121" customFormat="1" ht="15" customHeight="1">
      <c r="A633" s="125" t="s">
        <v>1036</v>
      </c>
      <c r="B633" s="125" t="s">
        <v>283</v>
      </c>
      <c r="C633" s="350">
        <v>225520</v>
      </c>
      <c r="D633" s="127">
        <v>9</v>
      </c>
      <c r="E633" s="128">
        <v>1240</v>
      </c>
      <c r="F633" s="247">
        <v>1312</v>
      </c>
      <c r="G633" s="128">
        <v>2240</v>
      </c>
      <c r="H633" s="247">
        <v>2312</v>
      </c>
      <c r="I633" s="128"/>
      <c r="J633" s="247"/>
      <c r="K633" s="128"/>
      <c r="L633" s="247"/>
      <c r="M633" s="128"/>
      <c r="N633" s="247"/>
      <c r="O633" s="128"/>
      <c r="P633" s="247"/>
      <c r="Q633" s="128"/>
      <c r="R633" s="247"/>
      <c r="S633" s="128"/>
      <c r="T633" s="247"/>
      <c r="U633" s="128"/>
      <c r="V633" s="247"/>
      <c r="W633" s="128"/>
      <c r="X633" s="247"/>
      <c r="Y633" s="128"/>
      <c r="Z633" s="247"/>
      <c r="AA633" s="128"/>
      <c r="AB633" s="247"/>
      <c r="AC633" s="128"/>
      <c r="AD633" s="247"/>
      <c r="AE633" s="128"/>
      <c r="AF633" s="247"/>
      <c r="AG633" s="128"/>
      <c r="AH633" s="247"/>
      <c r="AI633" s="128"/>
      <c r="AJ633" s="247"/>
      <c r="AK633" s="128"/>
      <c r="AL633" s="247"/>
      <c r="AM633" s="128"/>
      <c r="AN633" s="146"/>
    </row>
    <row r="634" spans="1:40" s="121" customFormat="1" ht="15" customHeight="1">
      <c r="A634" s="125" t="s">
        <v>1036</v>
      </c>
      <c r="B634" s="125" t="s">
        <v>284</v>
      </c>
      <c r="C634" s="350">
        <v>226019</v>
      </c>
      <c r="D634" s="127">
        <v>9</v>
      </c>
      <c r="E634" s="128">
        <v>660</v>
      </c>
      <c r="F634" s="247">
        <v>1060</v>
      </c>
      <c r="G634" s="128">
        <v>2370</v>
      </c>
      <c r="H634" s="247">
        <v>2920</v>
      </c>
      <c r="I634" s="128"/>
      <c r="J634" s="247"/>
      <c r="K634" s="128"/>
      <c r="L634" s="247"/>
      <c r="M634" s="128"/>
      <c r="N634" s="247"/>
      <c r="O634" s="128"/>
      <c r="P634" s="247"/>
      <c r="Q634" s="128"/>
      <c r="R634" s="247"/>
      <c r="S634" s="128"/>
      <c r="T634" s="247"/>
      <c r="U634" s="128"/>
      <c r="V634" s="247"/>
      <c r="W634" s="128"/>
      <c r="X634" s="247"/>
      <c r="Y634" s="128"/>
      <c r="Z634" s="247"/>
      <c r="AA634" s="128"/>
      <c r="AB634" s="247"/>
      <c r="AC634" s="128"/>
      <c r="AD634" s="247"/>
      <c r="AE634" s="128"/>
      <c r="AF634" s="247"/>
      <c r="AG634" s="128"/>
      <c r="AH634" s="247"/>
      <c r="AI634" s="128"/>
      <c r="AJ634" s="247"/>
      <c r="AK634" s="128"/>
      <c r="AL634" s="247"/>
      <c r="AM634" s="128"/>
      <c r="AN634" s="146"/>
    </row>
    <row r="635" spans="1:40" s="121" customFormat="1" ht="15" customHeight="1">
      <c r="A635" s="125" t="s">
        <v>1036</v>
      </c>
      <c r="B635" s="125" t="s">
        <v>831</v>
      </c>
      <c r="C635" s="350">
        <v>226116</v>
      </c>
      <c r="D635" s="127">
        <v>9</v>
      </c>
      <c r="E635" s="128">
        <v>2158</v>
      </c>
      <c r="F635" s="247">
        <v>2980</v>
      </c>
      <c r="G635" s="128">
        <v>9238</v>
      </c>
      <c r="H635" s="247">
        <v>10720</v>
      </c>
      <c r="I635" s="128"/>
      <c r="J635" s="247"/>
      <c r="K635" s="128"/>
      <c r="L635" s="247"/>
      <c r="M635" s="128"/>
      <c r="N635" s="247"/>
      <c r="O635" s="128"/>
      <c r="P635" s="247"/>
      <c r="Q635" s="128"/>
      <c r="R635" s="247"/>
      <c r="S635" s="128"/>
      <c r="T635" s="247"/>
      <c r="U635" s="128"/>
      <c r="V635" s="247"/>
      <c r="W635" s="128"/>
      <c r="X635" s="247"/>
      <c r="Y635" s="128"/>
      <c r="Z635" s="247"/>
      <c r="AA635" s="128"/>
      <c r="AB635" s="247"/>
      <c r="AC635" s="128"/>
      <c r="AD635" s="247"/>
      <c r="AE635" s="128"/>
      <c r="AF635" s="247"/>
      <c r="AG635" s="128"/>
      <c r="AH635" s="247"/>
      <c r="AI635" s="128"/>
      <c r="AJ635" s="247"/>
      <c r="AK635" s="128"/>
      <c r="AL635" s="247"/>
      <c r="AM635" s="128"/>
      <c r="AN635" s="146"/>
    </row>
    <row r="636" spans="1:40" s="121" customFormat="1" ht="15" customHeight="1">
      <c r="A636" s="125" t="s">
        <v>1036</v>
      </c>
      <c r="B636" s="125" t="s">
        <v>832</v>
      </c>
      <c r="C636" s="350">
        <v>226204</v>
      </c>
      <c r="D636" s="127">
        <v>9</v>
      </c>
      <c r="E636" s="128">
        <v>964</v>
      </c>
      <c r="F636" s="247">
        <v>812</v>
      </c>
      <c r="G636" s="128">
        <v>2106</v>
      </c>
      <c r="H636" s="247">
        <v>1952</v>
      </c>
      <c r="I636" s="128"/>
      <c r="J636" s="247"/>
      <c r="K636" s="128"/>
      <c r="L636" s="247"/>
      <c r="M636" s="128"/>
      <c r="N636" s="247"/>
      <c r="O636" s="128"/>
      <c r="P636" s="247"/>
      <c r="Q636" s="128"/>
      <c r="R636" s="247"/>
      <c r="S636" s="128"/>
      <c r="T636" s="247"/>
      <c r="U636" s="128"/>
      <c r="V636" s="247"/>
      <c r="W636" s="128"/>
      <c r="X636" s="247"/>
      <c r="Y636" s="128"/>
      <c r="Z636" s="247"/>
      <c r="AA636" s="128"/>
      <c r="AB636" s="247"/>
      <c r="AC636" s="128"/>
      <c r="AD636" s="247"/>
      <c r="AE636" s="128"/>
      <c r="AF636" s="247"/>
      <c r="AG636" s="128"/>
      <c r="AH636" s="247"/>
      <c r="AI636" s="128"/>
      <c r="AJ636" s="247"/>
      <c r="AK636" s="128"/>
      <c r="AL636" s="247"/>
      <c r="AM636" s="128"/>
      <c r="AN636" s="146"/>
    </row>
    <row r="637" spans="1:40" s="121" customFormat="1" ht="15" customHeight="1">
      <c r="A637" s="125" t="s">
        <v>1036</v>
      </c>
      <c r="B637" s="125" t="s">
        <v>833</v>
      </c>
      <c r="C637" s="350">
        <v>226806</v>
      </c>
      <c r="D637" s="127">
        <v>9</v>
      </c>
      <c r="E637" s="128">
        <v>1128</v>
      </c>
      <c r="F637" s="247">
        <v>1340</v>
      </c>
      <c r="G637" s="128">
        <v>1878</v>
      </c>
      <c r="H637" s="247">
        <v>2520</v>
      </c>
      <c r="I637" s="128"/>
      <c r="J637" s="247"/>
      <c r="K637" s="128"/>
      <c r="L637" s="247"/>
      <c r="M637" s="128"/>
      <c r="N637" s="247"/>
      <c r="O637" s="128"/>
      <c r="P637" s="247"/>
      <c r="Q637" s="128"/>
      <c r="R637" s="247"/>
      <c r="S637" s="128"/>
      <c r="T637" s="247"/>
      <c r="U637" s="128"/>
      <c r="V637" s="247"/>
      <c r="W637" s="128"/>
      <c r="X637" s="247"/>
      <c r="Y637" s="128"/>
      <c r="Z637" s="247"/>
      <c r="AA637" s="128"/>
      <c r="AB637" s="247"/>
      <c r="AC637" s="128"/>
      <c r="AD637" s="247"/>
      <c r="AE637" s="128"/>
      <c r="AF637" s="247"/>
      <c r="AG637" s="128"/>
      <c r="AH637" s="247"/>
      <c r="AI637" s="128"/>
      <c r="AJ637" s="247"/>
      <c r="AK637" s="128"/>
      <c r="AL637" s="247"/>
      <c r="AM637" s="128"/>
      <c r="AN637" s="146"/>
    </row>
    <row r="638" spans="1:40" s="121" customFormat="1" ht="15" customHeight="1">
      <c r="A638" s="125" t="s">
        <v>1036</v>
      </c>
      <c r="B638" s="125" t="s">
        <v>834</v>
      </c>
      <c r="C638" s="350">
        <v>226930</v>
      </c>
      <c r="D638" s="127">
        <v>9</v>
      </c>
      <c r="E638" s="128">
        <v>900</v>
      </c>
      <c r="F638" s="247">
        <v>900</v>
      </c>
      <c r="G638" s="128">
        <v>2400</v>
      </c>
      <c r="H638" s="247">
        <v>2400</v>
      </c>
      <c r="I638" s="128"/>
      <c r="J638" s="247"/>
      <c r="K638" s="128"/>
      <c r="L638" s="247"/>
      <c r="M638" s="128"/>
      <c r="N638" s="247"/>
      <c r="O638" s="128"/>
      <c r="P638" s="247"/>
      <c r="Q638" s="128"/>
      <c r="R638" s="247"/>
      <c r="S638" s="128"/>
      <c r="T638" s="247"/>
      <c r="U638" s="128"/>
      <c r="V638" s="247"/>
      <c r="W638" s="128"/>
      <c r="X638" s="247"/>
      <c r="Y638" s="128"/>
      <c r="Z638" s="247"/>
      <c r="AA638" s="128"/>
      <c r="AB638" s="247"/>
      <c r="AC638" s="128"/>
      <c r="AD638" s="247"/>
      <c r="AE638" s="128"/>
      <c r="AF638" s="247"/>
      <c r="AG638" s="128"/>
      <c r="AH638" s="247"/>
      <c r="AI638" s="128"/>
      <c r="AJ638" s="247"/>
      <c r="AK638" s="128"/>
      <c r="AL638" s="247"/>
      <c r="AM638" s="128"/>
      <c r="AN638" s="146"/>
    </row>
    <row r="639" spans="1:40" s="121" customFormat="1" ht="15" customHeight="1">
      <c r="A639" s="125" t="s">
        <v>1036</v>
      </c>
      <c r="B639" s="125" t="s">
        <v>835</v>
      </c>
      <c r="C639" s="350">
        <v>227146</v>
      </c>
      <c r="D639" s="127">
        <v>9</v>
      </c>
      <c r="E639" s="128">
        <v>1345</v>
      </c>
      <c r="F639" s="247">
        <v>1084</v>
      </c>
      <c r="G639" s="128">
        <v>2555</v>
      </c>
      <c r="H639" s="247">
        <v>2300</v>
      </c>
      <c r="I639" s="128"/>
      <c r="J639" s="247"/>
      <c r="K639" s="128"/>
      <c r="L639" s="247"/>
      <c r="M639" s="128"/>
      <c r="N639" s="247"/>
      <c r="O639" s="128"/>
      <c r="P639" s="247"/>
      <c r="Q639" s="128"/>
      <c r="R639" s="247"/>
      <c r="S639" s="128"/>
      <c r="T639" s="247"/>
      <c r="U639" s="128"/>
      <c r="V639" s="247"/>
      <c r="W639" s="128"/>
      <c r="X639" s="247"/>
      <c r="Y639" s="128"/>
      <c r="Z639" s="247"/>
      <c r="AA639" s="128"/>
      <c r="AB639" s="247"/>
      <c r="AC639" s="128"/>
      <c r="AD639" s="247"/>
      <c r="AE639" s="128"/>
      <c r="AF639" s="247"/>
      <c r="AG639" s="128"/>
      <c r="AH639" s="247"/>
      <c r="AI639" s="128"/>
      <c r="AJ639" s="247"/>
      <c r="AK639" s="128"/>
      <c r="AL639" s="247"/>
      <c r="AM639" s="128"/>
      <c r="AN639" s="146"/>
    </row>
    <row r="640" spans="1:40" s="121" customFormat="1" ht="15" customHeight="1">
      <c r="A640" s="125" t="s">
        <v>1036</v>
      </c>
      <c r="B640" s="125" t="s">
        <v>836</v>
      </c>
      <c r="C640" s="350">
        <v>224110</v>
      </c>
      <c r="D640" s="127">
        <v>9</v>
      </c>
      <c r="E640" s="128">
        <v>1330</v>
      </c>
      <c r="F640" s="247">
        <v>1260</v>
      </c>
      <c r="G640" s="128">
        <v>2860</v>
      </c>
      <c r="H640" s="247">
        <v>2790</v>
      </c>
      <c r="I640" s="128"/>
      <c r="J640" s="247"/>
      <c r="K640" s="128"/>
      <c r="L640" s="247"/>
      <c r="M640" s="128"/>
      <c r="N640" s="247"/>
      <c r="O640" s="128"/>
      <c r="P640" s="247"/>
      <c r="Q640" s="128"/>
      <c r="R640" s="247"/>
      <c r="S640" s="128"/>
      <c r="T640" s="247"/>
      <c r="U640" s="128"/>
      <c r="V640" s="247"/>
      <c r="W640" s="128"/>
      <c r="X640" s="247"/>
      <c r="Y640" s="128"/>
      <c r="Z640" s="247"/>
      <c r="AA640" s="128"/>
      <c r="AB640" s="247"/>
      <c r="AC640" s="128"/>
      <c r="AD640" s="247"/>
      <c r="AE640" s="128"/>
      <c r="AF640" s="247"/>
      <c r="AG640" s="128"/>
      <c r="AH640" s="247"/>
      <c r="AI640" s="128"/>
      <c r="AJ640" s="247"/>
      <c r="AK640" s="128"/>
      <c r="AL640" s="247"/>
      <c r="AM640" s="128"/>
      <c r="AN640" s="146"/>
    </row>
    <row r="641" spans="1:40" s="121" customFormat="1" ht="15" customHeight="1">
      <c r="A641" s="125" t="s">
        <v>1036</v>
      </c>
      <c r="B641" s="125" t="s">
        <v>837</v>
      </c>
      <c r="C641" s="350">
        <v>420398</v>
      </c>
      <c r="D641" s="127">
        <v>9</v>
      </c>
      <c r="E641" s="128">
        <v>1312</v>
      </c>
      <c r="F641" s="247">
        <v>1398</v>
      </c>
      <c r="G641" s="128">
        <v>4576</v>
      </c>
      <c r="H641" s="247">
        <v>4818</v>
      </c>
      <c r="I641" s="128"/>
      <c r="J641" s="247"/>
      <c r="K641" s="128"/>
      <c r="L641" s="247"/>
      <c r="M641" s="128"/>
      <c r="N641" s="247"/>
      <c r="O641" s="128"/>
      <c r="P641" s="247"/>
      <c r="Q641" s="128"/>
      <c r="R641" s="247"/>
      <c r="S641" s="128"/>
      <c r="T641" s="247"/>
      <c r="U641" s="128"/>
      <c r="V641" s="247"/>
      <c r="W641" s="128"/>
      <c r="X641" s="247"/>
      <c r="Y641" s="128"/>
      <c r="Z641" s="247"/>
      <c r="AA641" s="128"/>
      <c r="AB641" s="247"/>
      <c r="AC641" s="128"/>
      <c r="AD641" s="247"/>
      <c r="AE641" s="128"/>
      <c r="AF641" s="247"/>
      <c r="AG641" s="128"/>
      <c r="AH641" s="247"/>
      <c r="AI641" s="128"/>
      <c r="AJ641" s="247"/>
      <c r="AK641" s="128"/>
      <c r="AL641" s="247"/>
      <c r="AM641" s="128"/>
      <c r="AN641" s="146"/>
    </row>
    <row r="642" spans="1:40" s="121" customFormat="1" ht="15" customHeight="1">
      <c r="A642" s="125" t="s">
        <v>1036</v>
      </c>
      <c r="B642" s="125" t="s">
        <v>838</v>
      </c>
      <c r="C642" s="350">
        <v>227304</v>
      </c>
      <c r="D642" s="127">
        <v>9</v>
      </c>
      <c r="E642" s="128">
        <v>1250</v>
      </c>
      <c r="F642" s="247">
        <v>1230</v>
      </c>
      <c r="G642" s="128">
        <v>1850</v>
      </c>
      <c r="H642" s="247">
        <v>1830</v>
      </c>
      <c r="I642" s="128"/>
      <c r="J642" s="247"/>
      <c r="K642" s="128"/>
      <c r="L642" s="247"/>
      <c r="M642" s="128"/>
      <c r="N642" s="247"/>
      <c r="O642" s="128"/>
      <c r="P642" s="247"/>
      <c r="Q642" s="128"/>
      <c r="R642" s="247"/>
      <c r="S642" s="128"/>
      <c r="T642" s="247"/>
      <c r="U642" s="128"/>
      <c r="V642" s="247"/>
      <c r="W642" s="128"/>
      <c r="X642" s="247"/>
      <c r="Y642" s="128"/>
      <c r="Z642" s="247"/>
      <c r="AA642" s="128"/>
      <c r="AB642" s="247"/>
      <c r="AC642" s="128"/>
      <c r="AD642" s="247"/>
      <c r="AE642" s="128"/>
      <c r="AF642" s="247"/>
      <c r="AG642" s="128"/>
      <c r="AH642" s="247"/>
      <c r="AI642" s="128"/>
      <c r="AJ642" s="247"/>
      <c r="AK642" s="128"/>
      <c r="AL642" s="247"/>
      <c r="AM642" s="128"/>
      <c r="AN642" s="146"/>
    </row>
    <row r="643" spans="1:40" s="121" customFormat="1" ht="15" customHeight="1">
      <c r="A643" s="125" t="s">
        <v>1036</v>
      </c>
      <c r="B643" s="125" t="s">
        <v>839</v>
      </c>
      <c r="C643" s="350">
        <v>246354</v>
      </c>
      <c r="D643" s="127">
        <v>9</v>
      </c>
      <c r="E643" s="128">
        <v>1312</v>
      </c>
      <c r="F643" s="247">
        <v>1398</v>
      </c>
      <c r="G643" s="128">
        <v>4576</v>
      </c>
      <c r="H643" s="247">
        <v>4818</v>
      </c>
      <c r="I643" s="128"/>
      <c r="J643" s="247"/>
      <c r="K643" s="128"/>
      <c r="L643" s="247"/>
      <c r="M643" s="128"/>
      <c r="N643" s="247"/>
      <c r="O643" s="128"/>
      <c r="P643" s="247"/>
      <c r="Q643" s="128"/>
      <c r="R643" s="247"/>
      <c r="S643" s="128"/>
      <c r="T643" s="247"/>
      <c r="U643" s="128"/>
      <c r="V643" s="247"/>
      <c r="W643" s="128"/>
      <c r="X643" s="247"/>
      <c r="Y643" s="128"/>
      <c r="Z643" s="247"/>
      <c r="AA643" s="128"/>
      <c r="AB643" s="247"/>
      <c r="AC643" s="128"/>
      <c r="AD643" s="247"/>
      <c r="AE643" s="128"/>
      <c r="AF643" s="247"/>
      <c r="AG643" s="128"/>
      <c r="AH643" s="247"/>
      <c r="AI643" s="128"/>
      <c r="AJ643" s="247"/>
      <c r="AK643" s="128"/>
      <c r="AL643" s="247"/>
      <c r="AM643" s="128"/>
      <c r="AN643" s="146"/>
    </row>
    <row r="644" spans="1:40" s="121" customFormat="1" ht="15" customHeight="1">
      <c r="A644" s="125" t="s">
        <v>1036</v>
      </c>
      <c r="B644" s="125" t="s">
        <v>840</v>
      </c>
      <c r="C644" s="350">
        <v>227401</v>
      </c>
      <c r="D644" s="127">
        <v>9</v>
      </c>
      <c r="E644" s="128">
        <v>1110</v>
      </c>
      <c r="F644" s="247">
        <v>1290</v>
      </c>
      <c r="G644" s="128">
        <v>2760</v>
      </c>
      <c r="H644" s="247">
        <v>3000</v>
      </c>
      <c r="I644" s="128"/>
      <c r="J644" s="247"/>
      <c r="K644" s="128"/>
      <c r="L644" s="247"/>
      <c r="M644" s="128"/>
      <c r="N644" s="247"/>
      <c r="O644" s="128"/>
      <c r="P644" s="247"/>
      <c r="Q644" s="128"/>
      <c r="R644" s="247"/>
      <c r="S644" s="128"/>
      <c r="T644" s="247"/>
      <c r="U644" s="128"/>
      <c r="V644" s="247"/>
      <c r="W644" s="128"/>
      <c r="X644" s="247"/>
      <c r="Y644" s="128"/>
      <c r="Z644" s="247"/>
      <c r="AA644" s="128"/>
      <c r="AB644" s="247"/>
      <c r="AC644" s="128"/>
      <c r="AD644" s="247"/>
      <c r="AE644" s="128"/>
      <c r="AF644" s="247"/>
      <c r="AG644" s="128"/>
      <c r="AH644" s="247"/>
      <c r="AI644" s="128"/>
      <c r="AJ644" s="247"/>
      <c r="AK644" s="128"/>
      <c r="AL644" s="247"/>
      <c r="AM644" s="128"/>
      <c r="AN644" s="146"/>
    </row>
    <row r="645" spans="1:40" s="121" customFormat="1" ht="15" customHeight="1">
      <c r="A645" s="125" t="s">
        <v>1036</v>
      </c>
      <c r="B645" s="125" t="s">
        <v>841</v>
      </c>
      <c r="C645" s="350">
        <v>228316</v>
      </c>
      <c r="D645" s="127">
        <v>9</v>
      </c>
      <c r="E645" s="128">
        <v>1526</v>
      </c>
      <c r="F645" s="247">
        <v>1770</v>
      </c>
      <c r="G645" s="128">
        <v>2607</v>
      </c>
      <c r="H645" s="247">
        <v>2265</v>
      </c>
      <c r="I645" s="128"/>
      <c r="J645" s="247"/>
      <c r="K645" s="128"/>
      <c r="L645" s="247"/>
      <c r="M645" s="128"/>
      <c r="N645" s="247"/>
      <c r="O645" s="128"/>
      <c r="P645" s="247"/>
      <c r="Q645" s="128"/>
      <c r="R645" s="247"/>
      <c r="S645" s="128"/>
      <c r="T645" s="247"/>
      <c r="U645" s="128"/>
      <c r="V645" s="247"/>
      <c r="W645" s="128"/>
      <c r="X645" s="247"/>
      <c r="Y645" s="128"/>
      <c r="Z645" s="247"/>
      <c r="AA645" s="128"/>
      <c r="AB645" s="247"/>
      <c r="AC645" s="128"/>
      <c r="AD645" s="247"/>
      <c r="AE645" s="128"/>
      <c r="AF645" s="247"/>
      <c r="AG645" s="128"/>
      <c r="AH645" s="247"/>
      <c r="AI645" s="128"/>
      <c r="AJ645" s="247"/>
      <c r="AK645" s="128"/>
      <c r="AL645" s="247"/>
      <c r="AM645" s="128"/>
      <c r="AN645" s="146"/>
    </row>
    <row r="646" spans="1:40" s="121" customFormat="1" ht="15" customHeight="1">
      <c r="A646" s="125" t="s">
        <v>1036</v>
      </c>
      <c r="B646" s="125" t="s">
        <v>842</v>
      </c>
      <c r="C646" s="350">
        <v>228608</v>
      </c>
      <c r="D646" s="127">
        <v>9</v>
      </c>
      <c r="E646" s="128">
        <v>960</v>
      </c>
      <c r="F646" s="247">
        <v>1740</v>
      </c>
      <c r="G646" s="128">
        <v>1860</v>
      </c>
      <c r="H646" s="247">
        <v>4500</v>
      </c>
      <c r="I646" s="128"/>
      <c r="J646" s="247"/>
      <c r="K646" s="128"/>
      <c r="L646" s="247"/>
      <c r="M646" s="128"/>
      <c r="N646" s="247"/>
      <c r="O646" s="128"/>
      <c r="P646" s="247"/>
      <c r="Q646" s="128"/>
      <c r="R646" s="247"/>
      <c r="S646" s="128"/>
      <c r="T646" s="247"/>
      <c r="U646" s="128"/>
      <c r="V646" s="247"/>
      <c r="W646" s="128"/>
      <c r="X646" s="247"/>
      <c r="Y646" s="128"/>
      <c r="Z646" s="247"/>
      <c r="AA646" s="128"/>
      <c r="AB646" s="247"/>
      <c r="AC646" s="128"/>
      <c r="AD646" s="247"/>
      <c r="AE646" s="128"/>
      <c r="AF646" s="247"/>
      <c r="AG646" s="128"/>
      <c r="AH646" s="247"/>
      <c r="AI646" s="128"/>
      <c r="AJ646" s="247"/>
      <c r="AK646" s="128"/>
      <c r="AL646" s="247"/>
      <c r="AM646" s="128"/>
      <c r="AN646" s="146"/>
    </row>
    <row r="647" spans="1:40" s="121" customFormat="1" ht="15" customHeight="1">
      <c r="A647" s="125" t="s">
        <v>1036</v>
      </c>
      <c r="B647" s="125" t="s">
        <v>843</v>
      </c>
      <c r="C647" s="350">
        <v>228699</v>
      </c>
      <c r="D647" s="127">
        <v>9</v>
      </c>
      <c r="E647" s="128">
        <v>510</v>
      </c>
      <c r="F647" s="247">
        <v>1484</v>
      </c>
      <c r="G647" s="128">
        <v>1460</v>
      </c>
      <c r="H647" s="247">
        <v>1984</v>
      </c>
      <c r="I647" s="128"/>
      <c r="J647" s="247"/>
      <c r="K647" s="128"/>
      <c r="L647" s="247"/>
      <c r="M647" s="128"/>
      <c r="N647" s="247"/>
      <c r="O647" s="128"/>
      <c r="P647" s="247"/>
      <c r="Q647" s="128"/>
      <c r="R647" s="247"/>
      <c r="S647" s="128"/>
      <c r="T647" s="247"/>
      <c r="U647" s="128"/>
      <c r="V647" s="247"/>
      <c r="W647" s="128"/>
      <c r="X647" s="247"/>
      <c r="Y647" s="128"/>
      <c r="Z647" s="247"/>
      <c r="AA647" s="128"/>
      <c r="AB647" s="247"/>
      <c r="AC647" s="128"/>
      <c r="AD647" s="247"/>
      <c r="AE647" s="128"/>
      <c r="AF647" s="247"/>
      <c r="AG647" s="128"/>
      <c r="AH647" s="247"/>
      <c r="AI647" s="128"/>
      <c r="AJ647" s="247"/>
      <c r="AK647" s="128"/>
      <c r="AL647" s="247"/>
      <c r="AM647" s="128"/>
      <c r="AN647" s="146"/>
    </row>
    <row r="648" spans="1:40" s="121" customFormat="1" ht="15" customHeight="1">
      <c r="A648" s="125" t="s">
        <v>1036</v>
      </c>
      <c r="B648" s="125" t="s">
        <v>844</v>
      </c>
      <c r="C648" s="350">
        <v>229319</v>
      </c>
      <c r="D648" s="127">
        <v>9</v>
      </c>
      <c r="E648" s="128">
        <v>1668</v>
      </c>
      <c r="F648" s="247">
        <v>2290</v>
      </c>
      <c r="G648" s="128">
        <v>4788</v>
      </c>
      <c r="H648" s="247">
        <v>5410</v>
      </c>
      <c r="I648" s="128"/>
      <c r="J648" s="247"/>
      <c r="K648" s="128"/>
      <c r="L648" s="247"/>
      <c r="M648" s="128"/>
      <c r="N648" s="247"/>
      <c r="O648" s="128"/>
      <c r="P648" s="247"/>
      <c r="Q648" s="128"/>
      <c r="R648" s="247"/>
      <c r="S648" s="128"/>
      <c r="T648" s="247"/>
      <c r="U648" s="128"/>
      <c r="V648" s="247"/>
      <c r="W648" s="128"/>
      <c r="X648" s="247"/>
      <c r="Y648" s="128"/>
      <c r="Z648" s="247"/>
      <c r="AA648" s="128"/>
      <c r="AB648" s="247"/>
      <c r="AC648" s="128"/>
      <c r="AD648" s="247"/>
      <c r="AE648" s="128"/>
      <c r="AF648" s="247"/>
      <c r="AG648" s="128"/>
      <c r="AH648" s="247"/>
      <c r="AI648" s="128"/>
      <c r="AJ648" s="247"/>
      <c r="AK648" s="128"/>
      <c r="AL648" s="247"/>
      <c r="AM648" s="128"/>
      <c r="AN648" s="146"/>
    </row>
    <row r="649" spans="1:40" s="121" customFormat="1" ht="15" customHeight="1">
      <c r="A649" s="125" t="s">
        <v>1036</v>
      </c>
      <c r="B649" s="125" t="s">
        <v>845</v>
      </c>
      <c r="C649" s="350">
        <v>228680</v>
      </c>
      <c r="D649" s="127">
        <v>9</v>
      </c>
      <c r="E649" s="128">
        <v>1734</v>
      </c>
      <c r="F649" s="247">
        <v>2273</v>
      </c>
      <c r="G649" s="128">
        <v>4854</v>
      </c>
      <c r="H649" s="247">
        <v>5393</v>
      </c>
      <c r="I649" s="128"/>
      <c r="J649" s="247"/>
      <c r="K649" s="128"/>
      <c r="L649" s="247"/>
      <c r="M649" s="128"/>
      <c r="N649" s="247"/>
      <c r="O649" s="128"/>
      <c r="P649" s="247"/>
      <c r="Q649" s="128"/>
      <c r="R649" s="247"/>
      <c r="S649" s="128"/>
      <c r="T649" s="247"/>
      <c r="U649" s="128"/>
      <c r="V649" s="247"/>
      <c r="W649" s="128"/>
      <c r="X649" s="247"/>
      <c r="Y649" s="128"/>
      <c r="Z649" s="247"/>
      <c r="AA649" s="128"/>
      <c r="AB649" s="247"/>
      <c r="AC649" s="128"/>
      <c r="AD649" s="247"/>
      <c r="AE649" s="128"/>
      <c r="AF649" s="247"/>
      <c r="AG649" s="128"/>
      <c r="AH649" s="247"/>
      <c r="AI649" s="128"/>
      <c r="AJ649" s="247"/>
      <c r="AK649" s="128"/>
      <c r="AL649" s="247"/>
      <c r="AM649" s="128"/>
      <c r="AN649" s="146"/>
    </row>
    <row r="650" spans="1:40" s="121" customFormat="1" ht="15" customHeight="1">
      <c r="A650" s="125" t="s">
        <v>1036</v>
      </c>
      <c r="B650" s="125" t="s">
        <v>846</v>
      </c>
      <c r="C650" s="350">
        <v>225308</v>
      </c>
      <c r="D650" s="127">
        <v>9</v>
      </c>
      <c r="E650" s="128">
        <v>490</v>
      </c>
      <c r="F650" s="247">
        <v>900</v>
      </c>
      <c r="G650" s="128">
        <v>1840</v>
      </c>
      <c r="H650" s="247">
        <v>2250</v>
      </c>
      <c r="I650" s="128"/>
      <c r="J650" s="247"/>
      <c r="K650" s="128"/>
      <c r="L650" s="247"/>
      <c r="M650" s="128"/>
      <c r="N650" s="247"/>
      <c r="O650" s="128"/>
      <c r="P650" s="247"/>
      <c r="Q650" s="128"/>
      <c r="R650" s="247"/>
      <c r="S650" s="128"/>
      <c r="T650" s="247"/>
      <c r="U650" s="128"/>
      <c r="V650" s="247"/>
      <c r="W650" s="128"/>
      <c r="X650" s="247"/>
      <c r="Y650" s="128"/>
      <c r="Z650" s="247"/>
      <c r="AA650" s="128"/>
      <c r="AB650" s="247"/>
      <c r="AC650" s="128"/>
      <c r="AD650" s="247"/>
      <c r="AE650" s="128"/>
      <c r="AF650" s="247"/>
      <c r="AG650" s="128"/>
      <c r="AH650" s="247"/>
      <c r="AI650" s="128"/>
      <c r="AJ650" s="247"/>
      <c r="AK650" s="128"/>
      <c r="AL650" s="247"/>
      <c r="AM650" s="128"/>
      <c r="AN650" s="146"/>
    </row>
    <row r="651" spans="1:40" s="121" customFormat="1" ht="15" customHeight="1">
      <c r="A651" s="125" t="s">
        <v>1036</v>
      </c>
      <c r="B651" s="125" t="s">
        <v>847</v>
      </c>
      <c r="C651" s="350">
        <v>229504</v>
      </c>
      <c r="D651" s="127">
        <v>9</v>
      </c>
      <c r="E651" s="128">
        <v>690</v>
      </c>
      <c r="F651" s="247">
        <v>1260</v>
      </c>
      <c r="G651" s="128">
        <v>690</v>
      </c>
      <c r="H651" s="247">
        <v>2880</v>
      </c>
      <c r="I651" s="128"/>
      <c r="J651" s="247"/>
      <c r="K651" s="128"/>
      <c r="L651" s="247"/>
      <c r="M651" s="128"/>
      <c r="N651" s="247"/>
      <c r="O651" s="128"/>
      <c r="P651" s="247"/>
      <c r="Q651" s="128"/>
      <c r="R651" s="247"/>
      <c r="S651" s="128"/>
      <c r="T651" s="247"/>
      <c r="U651" s="128"/>
      <c r="V651" s="247"/>
      <c r="W651" s="128"/>
      <c r="X651" s="247"/>
      <c r="Y651" s="128"/>
      <c r="Z651" s="247"/>
      <c r="AA651" s="128"/>
      <c r="AB651" s="247"/>
      <c r="AC651" s="128"/>
      <c r="AD651" s="247"/>
      <c r="AE651" s="128"/>
      <c r="AF651" s="247"/>
      <c r="AG651" s="128"/>
      <c r="AH651" s="247"/>
      <c r="AI651" s="128"/>
      <c r="AJ651" s="247"/>
      <c r="AK651" s="128"/>
      <c r="AL651" s="247"/>
      <c r="AM651" s="128"/>
      <c r="AN651" s="146"/>
    </row>
    <row r="652" spans="1:40" s="121" customFormat="1" ht="15" customHeight="1">
      <c r="A652" s="125" t="s">
        <v>1036</v>
      </c>
      <c r="B652" s="125" t="s">
        <v>848</v>
      </c>
      <c r="C652" s="350">
        <v>229540</v>
      </c>
      <c r="D652" s="127">
        <v>9</v>
      </c>
      <c r="E652" s="128">
        <v>1292</v>
      </c>
      <c r="F652" s="247">
        <v>1170</v>
      </c>
      <c r="G652" s="128">
        <v>2132</v>
      </c>
      <c r="H652" s="247">
        <v>2010</v>
      </c>
      <c r="I652" s="128"/>
      <c r="J652" s="247"/>
      <c r="K652" s="128"/>
      <c r="L652" s="247"/>
      <c r="M652" s="128"/>
      <c r="N652" s="247"/>
      <c r="O652" s="128"/>
      <c r="P652" s="247"/>
      <c r="Q652" s="128"/>
      <c r="R652" s="247"/>
      <c r="S652" s="128"/>
      <c r="T652" s="247"/>
      <c r="U652" s="128"/>
      <c r="V652" s="247"/>
      <c r="W652" s="128"/>
      <c r="X652" s="247"/>
      <c r="Y652" s="128"/>
      <c r="Z652" s="247"/>
      <c r="AA652" s="128"/>
      <c r="AB652" s="247"/>
      <c r="AC652" s="128"/>
      <c r="AD652" s="247"/>
      <c r="AE652" s="128"/>
      <c r="AF652" s="247"/>
      <c r="AG652" s="128"/>
      <c r="AH652" s="247"/>
      <c r="AI652" s="128"/>
      <c r="AJ652" s="247"/>
      <c r="AK652" s="128"/>
      <c r="AL652" s="247"/>
      <c r="AM652" s="128"/>
      <c r="AN652" s="146"/>
    </row>
    <row r="653" spans="1:40" s="121" customFormat="1" ht="15" customHeight="1">
      <c r="A653" s="125" t="s">
        <v>1036</v>
      </c>
      <c r="B653" s="125" t="s">
        <v>849</v>
      </c>
      <c r="C653" s="350">
        <v>229799</v>
      </c>
      <c r="D653" s="127">
        <v>9</v>
      </c>
      <c r="E653" s="128">
        <v>918</v>
      </c>
      <c r="F653" s="247">
        <v>1345</v>
      </c>
      <c r="G653" s="128">
        <v>2448</v>
      </c>
      <c r="H653" s="247">
        <v>2875</v>
      </c>
      <c r="I653" s="128"/>
      <c r="J653" s="247"/>
      <c r="K653" s="128"/>
      <c r="L653" s="247"/>
      <c r="M653" s="128"/>
      <c r="N653" s="247"/>
      <c r="O653" s="128"/>
      <c r="P653" s="247"/>
      <c r="Q653" s="128"/>
      <c r="R653" s="247"/>
      <c r="S653" s="128"/>
      <c r="T653" s="247"/>
      <c r="U653" s="128"/>
      <c r="V653" s="247"/>
      <c r="W653" s="128"/>
      <c r="X653" s="247"/>
      <c r="Y653" s="128"/>
      <c r="Z653" s="247"/>
      <c r="AA653" s="128"/>
      <c r="AB653" s="247"/>
      <c r="AC653" s="128"/>
      <c r="AD653" s="247"/>
      <c r="AE653" s="128"/>
      <c r="AF653" s="247"/>
      <c r="AG653" s="128"/>
      <c r="AH653" s="247"/>
      <c r="AI653" s="128"/>
      <c r="AJ653" s="247"/>
      <c r="AK653" s="128"/>
      <c r="AL653" s="247"/>
      <c r="AM653" s="128"/>
      <c r="AN653" s="146"/>
    </row>
    <row r="654" spans="1:40" s="121" customFormat="1" ht="15" customHeight="1">
      <c r="A654" s="125" t="s">
        <v>1036</v>
      </c>
      <c r="B654" s="125" t="s">
        <v>850</v>
      </c>
      <c r="C654" s="350">
        <v>229841</v>
      </c>
      <c r="D654" s="127">
        <v>9</v>
      </c>
      <c r="E654" s="128">
        <v>1660</v>
      </c>
      <c r="F654" s="247">
        <v>2700</v>
      </c>
      <c r="G654" s="128">
        <v>2968</v>
      </c>
      <c r="H654" s="247">
        <v>3660</v>
      </c>
      <c r="I654" s="128"/>
      <c r="J654" s="247"/>
      <c r="K654" s="128"/>
      <c r="L654" s="247"/>
      <c r="M654" s="128"/>
      <c r="N654" s="247"/>
      <c r="O654" s="128"/>
      <c r="P654" s="247"/>
      <c r="Q654" s="128"/>
      <c r="R654" s="247"/>
      <c r="S654" s="128"/>
      <c r="T654" s="247"/>
      <c r="U654" s="128"/>
      <c r="V654" s="247"/>
      <c r="W654" s="128"/>
      <c r="X654" s="247"/>
      <c r="Y654" s="128"/>
      <c r="Z654" s="247"/>
      <c r="AA654" s="128"/>
      <c r="AB654" s="247"/>
      <c r="AC654" s="128"/>
      <c r="AD654" s="247"/>
      <c r="AE654" s="128"/>
      <c r="AF654" s="247"/>
      <c r="AG654" s="128"/>
      <c r="AH654" s="247"/>
      <c r="AI654" s="128"/>
      <c r="AJ654" s="247"/>
      <c r="AK654" s="128"/>
      <c r="AL654" s="247"/>
      <c r="AM654" s="128"/>
      <c r="AN654" s="146"/>
    </row>
    <row r="655" spans="1:40" s="121" customFormat="1" ht="15" customHeight="1">
      <c r="A655" s="125" t="s">
        <v>1036</v>
      </c>
      <c r="B655" s="125" t="s">
        <v>851</v>
      </c>
      <c r="C655" s="350">
        <v>223922</v>
      </c>
      <c r="D655" s="127">
        <v>10</v>
      </c>
      <c r="E655" s="128">
        <v>1730</v>
      </c>
      <c r="F655" s="247">
        <v>1755</v>
      </c>
      <c r="G655" s="128">
        <v>2630</v>
      </c>
      <c r="H655" s="247">
        <v>2685</v>
      </c>
      <c r="I655" s="128"/>
      <c r="J655" s="247"/>
      <c r="K655" s="128"/>
      <c r="L655" s="247"/>
      <c r="M655" s="128"/>
      <c r="N655" s="247"/>
      <c r="O655" s="128"/>
      <c r="P655" s="247"/>
      <c r="Q655" s="128"/>
      <c r="R655" s="247"/>
      <c r="S655" s="128"/>
      <c r="T655" s="247"/>
      <c r="U655" s="128"/>
      <c r="V655" s="247"/>
      <c r="W655" s="128"/>
      <c r="X655" s="247"/>
      <c r="Y655" s="128"/>
      <c r="Z655" s="247"/>
      <c r="AA655" s="128"/>
      <c r="AB655" s="247"/>
      <c r="AC655" s="128"/>
      <c r="AD655" s="247"/>
      <c r="AE655" s="128"/>
      <c r="AF655" s="247"/>
      <c r="AG655" s="128"/>
      <c r="AH655" s="247"/>
      <c r="AI655" s="128"/>
      <c r="AJ655" s="247"/>
      <c r="AK655" s="128"/>
      <c r="AL655" s="247"/>
      <c r="AM655" s="128"/>
      <c r="AN655" s="146"/>
    </row>
    <row r="656" spans="1:40" s="121" customFormat="1" ht="15" customHeight="1">
      <c r="A656" s="125" t="s">
        <v>1036</v>
      </c>
      <c r="B656" s="125" t="s">
        <v>852</v>
      </c>
      <c r="C656" s="350">
        <v>224891</v>
      </c>
      <c r="D656" s="127">
        <v>10</v>
      </c>
      <c r="E656" s="128">
        <v>720</v>
      </c>
      <c r="F656" s="247">
        <v>1790</v>
      </c>
      <c r="G656" s="128">
        <v>1440</v>
      </c>
      <c r="H656" s="247">
        <v>2510</v>
      </c>
      <c r="I656" s="128"/>
      <c r="J656" s="247"/>
      <c r="K656" s="128"/>
      <c r="L656" s="247"/>
      <c r="M656" s="128"/>
      <c r="N656" s="247"/>
      <c r="O656" s="128"/>
      <c r="P656" s="247"/>
      <c r="Q656" s="128"/>
      <c r="R656" s="247"/>
      <c r="S656" s="128"/>
      <c r="T656" s="247"/>
      <c r="U656" s="128"/>
      <c r="V656" s="247"/>
      <c r="W656" s="128"/>
      <c r="X656" s="247"/>
      <c r="Y656" s="128"/>
      <c r="Z656" s="247"/>
      <c r="AA656" s="128"/>
      <c r="AB656" s="247"/>
      <c r="AC656" s="128"/>
      <c r="AD656" s="247"/>
      <c r="AE656" s="128"/>
      <c r="AF656" s="247"/>
      <c r="AG656" s="128"/>
      <c r="AH656" s="247"/>
      <c r="AI656" s="128"/>
      <c r="AJ656" s="247"/>
      <c r="AK656" s="128"/>
      <c r="AL656" s="247"/>
      <c r="AM656" s="128"/>
      <c r="AN656" s="146"/>
    </row>
    <row r="657" spans="1:40" s="121" customFormat="1" ht="15" customHeight="1">
      <c r="A657" s="125" t="s">
        <v>1036</v>
      </c>
      <c r="B657" s="125" t="s">
        <v>853</v>
      </c>
      <c r="C657" s="350">
        <v>224961</v>
      </c>
      <c r="D657" s="127">
        <v>10</v>
      </c>
      <c r="E657" s="128">
        <v>1418</v>
      </c>
      <c r="F657" s="247">
        <v>1258</v>
      </c>
      <c r="G657" s="128">
        <v>2318</v>
      </c>
      <c r="H657" s="247">
        <v>2158</v>
      </c>
      <c r="I657" s="128"/>
      <c r="J657" s="247"/>
      <c r="K657" s="128"/>
      <c r="L657" s="247"/>
      <c r="M657" s="128"/>
      <c r="N657" s="247"/>
      <c r="O657" s="128"/>
      <c r="P657" s="247"/>
      <c r="Q657" s="128"/>
      <c r="R657" s="247"/>
      <c r="S657" s="128"/>
      <c r="T657" s="247"/>
      <c r="U657" s="128"/>
      <c r="V657" s="247"/>
      <c r="W657" s="128"/>
      <c r="X657" s="247"/>
      <c r="Y657" s="128"/>
      <c r="Z657" s="247"/>
      <c r="AA657" s="128"/>
      <c r="AB657" s="247"/>
      <c r="AC657" s="128"/>
      <c r="AD657" s="247"/>
      <c r="AE657" s="128"/>
      <c r="AF657" s="247"/>
      <c r="AG657" s="128"/>
      <c r="AH657" s="247"/>
      <c r="AI657" s="128"/>
      <c r="AJ657" s="247"/>
      <c r="AK657" s="128"/>
      <c r="AL657" s="247"/>
      <c r="AM657" s="128"/>
      <c r="AN657" s="146"/>
    </row>
    <row r="658" spans="1:40" s="121" customFormat="1" ht="15" customHeight="1">
      <c r="A658" s="125" t="s">
        <v>1036</v>
      </c>
      <c r="B658" s="125" t="s">
        <v>854</v>
      </c>
      <c r="C658" s="350">
        <v>229337</v>
      </c>
      <c r="D658" s="127">
        <v>10</v>
      </c>
      <c r="E658" s="128">
        <v>2188</v>
      </c>
      <c r="F658" s="247">
        <v>3055</v>
      </c>
      <c r="G658" s="128">
        <v>9268</v>
      </c>
      <c r="H658" s="247">
        <v>10795</v>
      </c>
      <c r="I658" s="128"/>
      <c r="J658" s="247"/>
      <c r="K658" s="128"/>
      <c r="L658" s="247"/>
      <c r="M658" s="128"/>
      <c r="N658" s="247"/>
      <c r="O658" s="128"/>
      <c r="P658" s="247"/>
      <c r="Q658" s="128"/>
      <c r="R658" s="247"/>
      <c r="S658" s="128"/>
      <c r="T658" s="247"/>
      <c r="U658" s="128"/>
      <c r="V658" s="247"/>
      <c r="W658" s="128"/>
      <c r="X658" s="247"/>
      <c r="Y658" s="128"/>
      <c r="Z658" s="247"/>
      <c r="AA658" s="128"/>
      <c r="AB658" s="247"/>
      <c r="AC658" s="128"/>
      <c r="AD658" s="247"/>
      <c r="AE658" s="128"/>
      <c r="AF658" s="247"/>
      <c r="AG658" s="128"/>
      <c r="AH658" s="247"/>
      <c r="AI658" s="128"/>
      <c r="AJ658" s="247"/>
      <c r="AK658" s="128"/>
      <c r="AL658" s="247"/>
      <c r="AM658" s="128"/>
      <c r="AN658" s="146"/>
    </row>
    <row r="659" spans="1:40" s="121" customFormat="1" ht="15" customHeight="1">
      <c r="A659" s="125" t="s">
        <v>1036</v>
      </c>
      <c r="B659" s="125" t="s">
        <v>855</v>
      </c>
      <c r="C659" s="350">
        <v>226107</v>
      </c>
      <c r="D659" s="127">
        <v>10</v>
      </c>
      <c r="E659" s="128">
        <v>2136</v>
      </c>
      <c r="F659" s="247">
        <v>2488</v>
      </c>
      <c r="G659" s="128">
        <v>9238</v>
      </c>
      <c r="H659" s="247">
        <v>9028</v>
      </c>
      <c r="I659" s="128"/>
      <c r="J659" s="247"/>
      <c r="K659" s="128"/>
      <c r="L659" s="247"/>
      <c r="M659" s="128"/>
      <c r="N659" s="247"/>
      <c r="O659" s="128"/>
      <c r="P659" s="247"/>
      <c r="Q659" s="128"/>
      <c r="R659" s="247"/>
      <c r="S659" s="128"/>
      <c r="T659" s="247"/>
      <c r="U659" s="128"/>
      <c r="V659" s="247"/>
      <c r="W659" s="128"/>
      <c r="X659" s="247"/>
      <c r="Y659" s="128"/>
      <c r="Z659" s="247"/>
      <c r="AA659" s="128"/>
      <c r="AB659" s="247"/>
      <c r="AC659" s="128"/>
      <c r="AD659" s="247"/>
      <c r="AE659" s="128"/>
      <c r="AF659" s="247"/>
      <c r="AG659" s="128"/>
      <c r="AH659" s="247"/>
      <c r="AI659" s="128"/>
      <c r="AJ659" s="247"/>
      <c r="AK659" s="128"/>
      <c r="AL659" s="247"/>
      <c r="AM659" s="128"/>
      <c r="AN659" s="146"/>
    </row>
    <row r="660" spans="1:40" s="121" customFormat="1" ht="15" customHeight="1">
      <c r="A660" s="125" t="s">
        <v>1036</v>
      </c>
      <c r="B660" s="125" t="s">
        <v>856</v>
      </c>
      <c r="C660" s="350">
        <v>227225</v>
      </c>
      <c r="D660" s="127">
        <v>10</v>
      </c>
      <c r="E660" s="128">
        <v>2344</v>
      </c>
      <c r="F660" s="247">
        <v>1380</v>
      </c>
      <c r="G660" s="128">
        <v>3214</v>
      </c>
      <c r="H660" s="247">
        <v>2250</v>
      </c>
      <c r="I660" s="128"/>
      <c r="J660" s="247"/>
      <c r="K660" s="128"/>
      <c r="L660" s="247"/>
      <c r="M660" s="128"/>
      <c r="N660" s="247"/>
      <c r="O660" s="128"/>
      <c r="P660" s="247"/>
      <c r="Q660" s="128"/>
      <c r="R660" s="247"/>
      <c r="S660" s="128"/>
      <c r="T660" s="247"/>
      <c r="U660" s="128"/>
      <c r="V660" s="247"/>
      <c r="W660" s="128"/>
      <c r="X660" s="247"/>
      <c r="Y660" s="128"/>
      <c r="Z660" s="247"/>
      <c r="AA660" s="128"/>
      <c r="AB660" s="247"/>
      <c r="AC660" s="128"/>
      <c r="AD660" s="247"/>
      <c r="AE660" s="128"/>
      <c r="AF660" s="247"/>
      <c r="AG660" s="128"/>
      <c r="AH660" s="247"/>
      <c r="AI660" s="128"/>
      <c r="AJ660" s="247"/>
      <c r="AK660" s="128"/>
      <c r="AL660" s="247"/>
      <c r="AM660" s="128"/>
      <c r="AN660" s="146"/>
    </row>
    <row r="661" spans="1:40" s="121" customFormat="1" ht="15" customHeight="1">
      <c r="A661" s="125" t="s">
        <v>1036</v>
      </c>
      <c r="B661" s="125" t="s">
        <v>857</v>
      </c>
      <c r="C661" s="350">
        <v>227386</v>
      </c>
      <c r="D661" s="127">
        <v>10</v>
      </c>
      <c r="E661" s="128">
        <v>772</v>
      </c>
      <c r="F661" s="247">
        <v>1260</v>
      </c>
      <c r="G661" s="128">
        <v>1852</v>
      </c>
      <c r="H661" s="247">
        <v>2340</v>
      </c>
      <c r="I661" s="128"/>
      <c r="J661" s="247"/>
      <c r="K661" s="128"/>
      <c r="L661" s="247"/>
      <c r="M661" s="128"/>
      <c r="N661" s="247"/>
      <c r="O661" s="128"/>
      <c r="P661" s="247"/>
      <c r="Q661" s="128"/>
      <c r="R661" s="247"/>
      <c r="S661" s="128"/>
      <c r="T661" s="247"/>
      <c r="U661" s="128"/>
      <c r="V661" s="247"/>
      <c r="W661" s="128"/>
      <c r="X661" s="247"/>
      <c r="Y661" s="128"/>
      <c r="Z661" s="247"/>
      <c r="AA661" s="128"/>
      <c r="AB661" s="247"/>
      <c r="AC661" s="128"/>
      <c r="AD661" s="247"/>
      <c r="AE661" s="128"/>
      <c r="AF661" s="247"/>
      <c r="AG661" s="128"/>
      <c r="AH661" s="247"/>
      <c r="AI661" s="128"/>
      <c r="AJ661" s="247"/>
      <c r="AK661" s="128"/>
      <c r="AL661" s="247"/>
      <c r="AM661" s="128"/>
      <c r="AN661" s="146"/>
    </row>
    <row r="662" spans="1:40" s="121" customFormat="1" ht="15" customHeight="1">
      <c r="A662" s="125" t="s">
        <v>1036</v>
      </c>
      <c r="B662" s="125" t="s">
        <v>858</v>
      </c>
      <c r="C662" s="350">
        <v>227687</v>
      </c>
      <c r="D662" s="127">
        <v>10</v>
      </c>
      <c r="E662" s="128">
        <v>1224</v>
      </c>
      <c r="F662" s="247">
        <v>1410</v>
      </c>
      <c r="G662" s="128">
        <v>1524</v>
      </c>
      <c r="H662" s="247">
        <v>1710</v>
      </c>
      <c r="I662" s="128"/>
      <c r="J662" s="247"/>
      <c r="K662" s="128"/>
      <c r="L662" s="247"/>
      <c r="M662" s="128"/>
      <c r="N662" s="247"/>
      <c r="O662" s="128"/>
      <c r="P662" s="247"/>
      <c r="Q662" s="128"/>
      <c r="R662" s="247"/>
      <c r="S662" s="128"/>
      <c r="T662" s="247"/>
      <c r="U662" s="128"/>
      <c r="V662" s="247"/>
      <c r="W662" s="128"/>
      <c r="X662" s="247"/>
      <c r="Y662" s="128"/>
      <c r="Z662" s="247"/>
      <c r="AA662" s="128"/>
      <c r="AB662" s="247"/>
      <c r="AC662" s="128"/>
      <c r="AD662" s="247"/>
      <c r="AE662" s="128"/>
      <c r="AF662" s="247"/>
      <c r="AG662" s="128"/>
      <c r="AH662" s="247"/>
      <c r="AI662" s="128"/>
      <c r="AJ662" s="247"/>
      <c r="AK662" s="128"/>
      <c r="AL662" s="247"/>
      <c r="AM662" s="128"/>
      <c r="AN662" s="146"/>
    </row>
    <row r="663" spans="1:40" s="121" customFormat="1" ht="15" customHeight="1">
      <c r="A663" s="125" t="s">
        <v>1036</v>
      </c>
      <c r="B663" s="125" t="s">
        <v>859</v>
      </c>
      <c r="C663" s="350">
        <v>382911</v>
      </c>
      <c r="D663" s="127">
        <v>10</v>
      </c>
      <c r="E663" s="128">
        <v>1240</v>
      </c>
      <c r="F663" s="247">
        <v>1312</v>
      </c>
      <c r="G663" s="128">
        <v>2240</v>
      </c>
      <c r="H663" s="247">
        <v>2312</v>
      </c>
      <c r="I663" s="128"/>
      <c r="J663" s="247"/>
      <c r="K663" s="128"/>
      <c r="L663" s="247"/>
      <c r="M663" s="128"/>
      <c r="N663" s="247"/>
      <c r="O663" s="128"/>
      <c r="P663" s="247"/>
      <c r="Q663" s="128"/>
      <c r="R663" s="247"/>
      <c r="S663" s="128"/>
      <c r="T663" s="247"/>
      <c r="U663" s="128"/>
      <c r="V663" s="247"/>
      <c r="W663" s="128"/>
      <c r="X663" s="247"/>
      <c r="Y663" s="128"/>
      <c r="Z663" s="247"/>
      <c r="AA663" s="128"/>
      <c r="AB663" s="247"/>
      <c r="AC663" s="128"/>
      <c r="AD663" s="247"/>
      <c r="AE663" s="128"/>
      <c r="AF663" s="247"/>
      <c r="AG663" s="128"/>
      <c r="AH663" s="247"/>
      <c r="AI663" s="128"/>
      <c r="AJ663" s="247"/>
      <c r="AK663" s="128"/>
      <c r="AL663" s="247"/>
      <c r="AM663" s="128"/>
      <c r="AN663" s="146"/>
    </row>
    <row r="664" spans="1:40" s="121" customFormat="1" ht="15" customHeight="1">
      <c r="A664" s="125" t="s">
        <v>1036</v>
      </c>
      <c r="B664" s="125" t="s">
        <v>860</v>
      </c>
      <c r="C664" s="350"/>
      <c r="D664" s="127">
        <v>10</v>
      </c>
      <c r="E664" s="128">
        <v>1900</v>
      </c>
      <c r="F664" s="247">
        <v>2290</v>
      </c>
      <c r="G664" s="128">
        <v>5000</v>
      </c>
      <c r="H664" s="247">
        <v>5960</v>
      </c>
      <c r="I664" s="128"/>
      <c r="J664" s="247"/>
      <c r="K664" s="128"/>
      <c r="L664" s="247"/>
      <c r="M664" s="128"/>
      <c r="N664" s="247"/>
      <c r="O664" s="128"/>
      <c r="P664" s="247"/>
      <c r="Q664" s="128"/>
      <c r="R664" s="247"/>
      <c r="S664" s="128"/>
      <c r="T664" s="247"/>
      <c r="U664" s="128"/>
      <c r="V664" s="247"/>
      <c r="W664" s="128"/>
      <c r="X664" s="247"/>
      <c r="Y664" s="128"/>
      <c r="Z664" s="247"/>
      <c r="AA664" s="128"/>
      <c r="AB664" s="247"/>
      <c r="AC664" s="128"/>
      <c r="AD664" s="247"/>
      <c r="AE664" s="128"/>
      <c r="AF664" s="247"/>
      <c r="AG664" s="128"/>
      <c r="AH664" s="247"/>
      <c r="AI664" s="128"/>
      <c r="AJ664" s="247"/>
      <c r="AK664" s="128"/>
      <c r="AL664" s="247"/>
      <c r="AM664" s="128"/>
      <c r="AN664" s="146"/>
    </row>
    <row r="665" spans="1:40" s="121" customFormat="1" ht="15" customHeight="1">
      <c r="A665" s="125" t="s">
        <v>1036</v>
      </c>
      <c r="B665" s="125" t="s">
        <v>861</v>
      </c>
      <c r="C665" s="350">
        <v>229328</v>
      </c>
      <c r="D665" s="127">
        <v>10</v>
      </c>
      <c r="E665" s="128">
        <v>1813</v>
      </c>
      <c r="F665" s="247">
        <v>2325</v>
      </c>
      <c r="G665" s="128">
        <v>4933</v>
      </c>
      <c r="H665" s="247">
        <v>5445</v>
      </c>
      <c r="I665" s="128"/>
      <c r="J665" s="247"/>
      <c r="K665" s="128"/>
      <c r="L665" s="247"/>
      <c r="M665" s="128"/>
      <c r="N665" s="247"/>
      <c r="O665" s="128"/>
      <c r="P665" s="247"/>
      <c r="Q665" s="128"/>
      <c r="R665" s="247"/>
      <c r="S665" s="128"/>
      <c r="T665" s="247"/>
      <c r="U665" s="128"/>
      <c r="V665" s="247"/>
      <c r="W665" s="128"/>
      <c r="X665" s="247"/>
      <c r="Y665" s="128"/>
      <c r="Z665" s="247"/>
      <c r="AA665" s="128"/>
      <c r="AB665" s="247"/>
      <c r="AC665" s="128"/>
      <c r="AD665" s="247"/>
      <c r="AE665" s="128"/>
      <c r="AF665" s="247"/>
      <c r="AG665" s="128"/>
      <c r="AH665" s="247"/>
      <c r="AI665" s="128"/>
      <c r="AJ665" s="247"/>
      <c r="AK665" s="128"/>
      <c r="AL665" s="247"/>
      <c r="AM665" s="128"/>
      <c r="AN665" s="146"/>
    </row>
    <row r="666" spans="1:40" s="121" customFormat="1" ht="15" customHeight="1">
      <c r="A666" s="125" t="s">
        <v>1036</v>
      </c>
      <c r="B666" s="125" t="s">
        <v>862</v>
      </c>
      <c r="C666" s="350">
        <v>229832</v>
      </c>
      <c r="D666" s="127">
        <v>10</v>
      </c>
      <c r="E666" s="128">
        <v>1296</v>
      </c>
      <c r="F666" s="247">
        <v>1720</v>
      </c>
      <c r="G666" s="128">
        <v>1296</v>
      </c>
      <c r="H666" s="247">
        <v>2020</v>
      </c>
      <c r="I666" s="128"/>
      <c r="J666" s="247"/>
      <c r="K666" s="128"/>
      <c r="L666" s="247"/>
      <c r="M666" s="128"/>
      <c r="N666" s="247"/>
      <c r="O666" s="128"/>
      <c r="P666" s="247"/>
      <c r="Q666" s="128"/>
      <c r="R666" s="247"/>
      <c r="S666" s="128"/>
      <c r="T666" s="247"/>
      <c r="U666" s="128"/>
      <c r="V666" s="247"/>
      <c r="W666" s="128"/>
      <c r="X666" s="247"/>
      <c r="Y666" s="128"/>
      <c r="Z666" s="247"/>
      <c r="AA666" s="128"/>
      <c r="AB666" s="247"/>
      <c r="AC666" s="128"/>
      <c r="AD666" s="247"/>
      <c r="AE666" s="128"/>
      <c r="AF666" s="247"/>
      <c r="AG666" s="128"/>
      <c r="AH666" s="247"/>
      <c r="AI666" s="128"/>
      <c r="AJ666" s="247"/>
      <c r="AK666" s="128"/>
      <c r="AL666" s="247"/>
      <c r="AM666" s="128"/>
      <c r="AN666" s="146"/>
    </row>
    <row r="667" spans="1:40" s="121" customFormat="1" ht="15" customHeight="1">
      <c r="A667" s="125" t="s">
        <v>1036</v>
      </c>
      <c r="B667" s="125" t="s">
        <v>863</v>
      </c>
      <c r="C667" s="349"/>
      <c r="D667" s="127">
        <v>15</v>
      </c>
      <c r="E667" s="128">
        <v>2950</v>
      </c>
      <c r="F667" s="247">
        <v>4512</v>
      </c>
      <c r="G667" s="128">
        <v>10030</v>
      </c>
      <c r="H667" s="247">
        <v>13671</v>
      </c>
      <c r="I667" s="128"/>
      <c r="J667" s="247">
        <v>2002.8</v>
      </c>
      <c r="K667" s="128"/>
      <c r="L667" s="247">
        <v>1990.8</v>
      </c>
      <c r="M667" s="128"/>
      <c r="N667" s="247"/>
      <c r="O667" s="128"/>
      <c r="P667" s="247"/>
      <c r="Q667" s="128">
        <v>8374</v>
      </c>
      <c r="R667" s="247">
        <v>8468</v>
      </c>
      <c r="S667" s="128">
        <v>21474</v>
      </c>
      <c r="T667" s="247">
        <v>20896</v>
      </c>
      <c r="U667" s="128">
        <v>7020</v>
      </c>
      <c r="V667" s="247">
        <v>8791</v>
      </c>
      <c r="W667" s="128">
        <v>17820</v>
      </c>
      <c r="X667" s="247">
        <v>19591</v>
      </c>
      <c r="Y667" s="128"/>
      <c r="Z667" s="247"/>
      <c r="AA667" s="128"/>
      <c r="AB667" s="247"/>
      <c r="AC667" s="128"/>
      <c r="AD667" s="247"/>
      <c r="AE667" s="128"/>
      <c r="AF667" s="247"/>
      <c r="AG667" s="128"/>
      <c r="AH667" s="247"/>
      <c r="AI667" s="128"/>
      <c r="AJ667" s="247"/>
      <c r="AK667" s="128"/>
      <c r="AL667" s="247"/>
      <c r="AM667" s="128"/>
      <c r="AN667" s="146"/>
    </row>
    <row r="668" spans="1:40" s="121" customFormat="1" ht="15" customHeight="1">
      <c r="A668" s="125" t="s">
        <v>1036</v>
      </c>
      <c r="B668" s="125" t="s">
        <v>864</v>
      </c>
      <c r="C668" s="349">
        <v>229337</v>
      </c>
      <c r="D668" s="127">
        <v>15</v>
      </c>
      <c r="E668" s="128">
        <v>3004</v>
      </c>
      <c r="F668" s="247">
        <v>2594</v>
      </c>
      <c r="G668" s="128">
        <v>10084</v>
      </c>
      <c r="H668" s="247">
        <v>12334</v>
      </c>
      <c r="I668" s="128">
        <v>4334</v>
      </c>
      <c r="J668" s="247">
        <v>7550.4</v>
      </c>
      <c r="K668" s="128">
        <v>9064</v>
      </c>
      <c r="L668" s="247">
        <v>16248</v>
      </c>
      <c r="M668" s="128"/>
      <c r="N668" s="247"/>
      <c r="O668" s="128"/>
      <c r="P668" s="247"/>
      <c r="Q668" s="128">
        <v>8758</v>
      </c>
      <c r="R668" s="247">
        <v>9897</v>
      </c>
      <c r="S668" s="128">
        <v>21854</v>
      </c>
      <c r="T668" s="247">
        <v>22997</v>
      </c>
      <c r="U668" s="128"/>
      <c r="V668" s="247"/>
      <c r="W668" s="128"/>
      <c r="X668" s="247"/>
      <c r="Y668" s="128">
        <v>4656</v>
      </c>
      <c r="Z668" s="247">
        <v>11381</v>
      </c>
      <c r="AA668" s="128">
        <v>10320</v>
      </c>
      <c r="AB668" s="247">
        <v>20957</v>
      </c>
      <c r="AC668" s="128"/>
      <c r="AD668" s="247"/>
      <c r="AE668" s="128"/>
      <c r="AF668" s="247"/>
      <c r="AG668" s="128"/>
      <c r="AH668" s="247"/>
      <c r="AI668" s="128"/>
      <c r="AJ668" s="247"/>
      <c r="AK668" s="128"/>
      <c r="AL668" s="247"/>
      <c r="AM668" s="128"/>
      <c r="AN668" s="146"/>
    </row>
    <row r="669" spans="1:40" s="121" customFormat="1" ht="15" customHeight="1">
      <c r="A669" s="125" t="s">
        <v>1036</v>
      </c>
      <c r="B669" s="125" t="s">
        <v>865</v>
      </c>
      <c r="C669" s="349">
        <v>228909</v>
      </c>
      <c r="D669" s="127">
        <v>15</v>
      </c>
      <c r="E669" s="128"/>
      <c r="F669" s="247" t="s">
        <v>866</v>
      </c>
      <c r="G669" s="128"/>
      <c r="H669" s="247" t="s">
        <v>866</v>
      </c>
      <c r="I669" s="128"/>
      <c r="J669" s="247">
        <v>2860.8</v>
      </c>
      <c r="K669" s="128"/>
      <c r="L669" s="247">
        <v>8476.8</v>
      </c>
      <c r="M669" s="128"/>
      <c r="N669" s="247"/>
      <c r="O669" s="128"/>
      <c r="P669" s="247"/>
      <c r="Q669" s="128">
        <v>8550</v>
      </c>
      <c r="R669" s="247">
        <v>10925</v>
      </c>
      <c r="S669" s="128">
        <v>21650</v>
      </c>
      <c r="T669" s="247">
        <v>26675</v>
      </c>
      <c r="U669" s="128"/>
      <c r="V669" s="247"/>
      <c r="W669" s="128"/>
      <c r="X669" s="247"/>
      <c r="Y669" s="128"/>
      <c r="Z669" s="247"/>
      <c r="AA669" s="128"/>
      <c r="AB669" s="247"/>
      <c r="AC669" s="128"/>
      <c r="AD669" s="247"/>
      <c r="AE669" s="128"/>
      <c r="AF669" s="247"/>
      <c r="AG669" s="128"/>
      <c r="AH669" s="247"/>
      <c r="AI669" s="128"/>
      <c r="AJ669" s="247"/>
      <c r="AK669" s="128"/>
      <c r="AL669" s="247"/>
      <c r="AM669" s="128"/>
      <c r="AN669" s="146"/>
    </row>
    <row r="670" spans="1:40" s="121" customFormat="1" ht="15" customHeight="1">
      <c r="A670" s="125" t="s">
        <v>1036</v>
      </c>
      <c r="B670" s="125" t="s">
        <v>867</v>
      </c>
      <c r="C670" s="349">
        <v>229300</v>
      </c>
      <c r="D670" s="127">
        <v>15</v>
      </c>
      <c r="E670" s="128">
        <v>2792</v>
      </c>
      <c r="F670" s="247">
        <v>2970</v>
      </c>
      <c r="G670" s="128">
        <v>9872</v>
      </c>
      <c r="H670" s="247">
        <v>7660</v>
      </c>
      <c r="I670" s="128">
        <v>2240</v>
      </c>
      <c r="J670" s="247">
        <v>4209.6</v>
      </c>
      <c r="K670" s="128">
        <v>7904</v>
      </c>
      <c r="L670" s="247">
        <v>11078.4</v>
      </c>
      <c r="M670" s="128"/>
      <c r="N670" s="247"/>
      <c r="O670" s="128"/>
      <c r="P670" s="247"/>
      <c r="Q670" s="128">
        <v>9200</v>
      </c>
      <c r="R670" s="247">
        <v>10755</v>
      </c>
      <c r="S670" s="128">
        <v>22300</v>
      </c>
      <c r="T670" s="247">
        <v>23855</v>
      </c>
      <c r="U670" s="128">
        <v>6450</v>
      </c>
      <c r="V670" s="247">
        <v>11127</v>
      </c>
      <c r="W670" s="128">
        <v>17250</v>
      </c>
      <c r="X670" s="247">
        <v>21927</v>
      </c>
      <c r="Y670" s="128"/>
      <c r="Z670" s="247"/>
      <c r="AA670" s="128"/>
      <c r="AB670" s="247"/>
      <c r="AC670" s="128"/>
      <c r="AD670" s="247"/>
      <c r="AE670" s="128"/>
      <c r="AF670" s="247"/>
      <c r="AG670" s="128"/>
      <c r="AH670" s="247"/>
      <c r="AI670" s="128"/>
      <c r="AJ670" s="247"/>
      <c r="AK670" s="128"/>
      <c r="AL670" s="247"/>
      <c r="AM670" s="128"/>
      <c r="AN670" s="146"/>
    </row>
    <row r="671" spans="1:40" s="121" customFormat="1" ht="15" customHeight="1">
      <c r="A671" s="125" t="s">
        <v>1036</v>
      </c>
      <c r="B671" s="125" t="s">
        <v>868</v>
      </c>
      <c r="C671" s="349">
        <v>228644</v>
      </c>
      <c r="D671" s="127">
        <v>15</v>
      </c>
      <c r="E671" s="128">
        <v>2520</v>
      </c>
      <c r="F671" s="247">
        <v>4748</v>
      </c>
      <c r="G671" s="128">
        <v>7860</v>
      </c>
      <c r="H671" s="247">
        <v>12288</v>
      </c>
      <c r="I671" s="128">
        <v>2269</v>
      </c>
      <c r="J671" s="247">
        <v>3537.6</v>
      </c>
      <c r="K671" s="128">
        <v>7872</v>
      </c>
      <c r="L671" s="247">
        <v>9489.6</v>
      </c>
      <c r="M671" s="128"/>
      <c r="N671" s="247"/>
      <c r="O671" s="128"/>
      <c r="P671" s="247"/>
      <c r="Q671" s="128">
        <v>6550</v>
      </c>
      <c r="R671" s="247">
        <v>10373</v>
      </c>
      <c r="S671" s="128">
        <v>19650</v>
      </c>
      <c r="T671" s="247">
        <v>23473</v>
      </c>
      <c r="U671" s="128">
        <v>7180</v>
      </c>
      <c r="V671" s="247">
        <v>10795</v>
      </c>
      <c r="W671" s="128">
        <v>17980</v>
      </c>
      <c r="X671" s="247">
        <v>21595</v>
      </c>
      <c r="Y671" s="128"/>
      <c r="Z671" s="247"/>
      <c r="AA671" s="128"/>
      <c r="AB671" s="247"/>
      <c r="AC671" s="128"/>
      <c r="AD671" s="247"/>
      <c r="AE671" s="128"/>
      <c r="AF671" s="247"/>
      <c r="AG671" s="128"/>
      <c r="AH671" s="247"/>
      <c r="AI671" s="128"/>
      <c r="AJ671" s="247"/>
      <c r="AK671" s="128"/>
      <c r="AL671" s="247"/>
      <c r="AM671" s="128"/>
      <c r="AN671" s="146"/>
    </row>
    <row r="672" spans="1:40" s="121" customFormat="1" ht="15" customHeight="1">
      <c r="A672" s="125" t="s">
        <v>1036</v>
      </c>
      <c r="B672" s="351" t="s">
        <v>869</v>
      </c>
      <c r="C672" s="352">
        <v>25554</v>
      </c>
      <c r="D672" s="127">
        <v>15</v>
      </c>
      <c r="E672" s="128">
        <v>2520</v>
      </c>
      <c r="F672" s="247">
        <v>5617</v>
      </c>
      <c r="G672" s="128">
        <v>7860</v>
      </c>
      <c r="H672" s="247">
        <v>19257</v>
      </c>
      <c r="I672" s="128"/>
      <c r="J672" s="247"/>
      <c r="K672" s="128"/>
      <c r="L672" s="247"/>
      <c r="M672" s="128"/>
      <c r="N672" s="247"/>
      <c r="O672" s="128"/>
      <c r="P672" s="247"/>
      <c r="Q672" s="128"/>
      <c r="R672" s="247"/>
      <c r="S672" s="128"/>
      <c r="T672" s="247"/>
      <c r="U672" s="128"/>
      <c r="V672" s="247"/>
      <c r="W672" s="128"/>
      <c r="X672" s="247"/>
      <c r="Y672" s="128"/>
      <c r="Z672" s="247"/>
      <c r="AA672" s="128"/>
      <c r="AB672" s="247"/>
      <c r="AC672" s="128"/>
      <c r="AD672" s="247"/>
      <c r="AE672" s="128"/>
      <c r="AF672" s="247"/>
      <c r="AG672" s="128"/>
      <c r="AH672" s="247"/>
      <c r="AI672" s="128"/>
      <c r="AJ672" s="247"/>
      <c r="AK672" s="128"/>
      <c r="AL672" s="247"/>
      <c r="AM672" s="128"/>
      <c r="AN672" s="146"/>
    </row>
    <row r="673" spans="1:40" s="121" customFormat="1" ht="15" customHeight="1">
      <c r="A673" s="125" t="s">
        <v>1036</v>
      </c>
      <c r="B673" s="125" t="s">
        <v>870</v>
      </c>
      <c r="C673" s="349">
        <v>228653</v>
      </c>
      <c r="D673" s="127">
        <v>15</v>
      </c>
      <c r="E673" s="128">
        <v>2330</v>
      </c>
      <c r="F673" s="247">
        <v>4399</v>
      </c>
      <c r="G673" s="128">
        <v>9410</v>
      </c>
      <c r="H673" s="247">
        <v>12139</v>
      </c>
      <c r="I673" s="128">
        <v>1720</v>
      </c>
      <c r="J673" s="247">
        <v>3480</v>
      </c>
      <c r="K673" s="128">
        <v>7248</v>
      </c>
      <c r="L673" s="247">
        <v>9672</v>
      </c>
      <c r="M673" s="128"/>
      <c r="N673" s="247"/>
      <c r="O673" s="128"/>
      <c r="P673" s="247"/>
      <c r="Q673" s="128">
        <v>6550</v>
      </c>
      <c r="R673" s="247">
        <v>8003</v>
      </c>
      <c r="S673" s="128">
        <v>19650</v>
      </c>
      <c r="T673" s="247">
        <v>21103</v>
      </c>
      <c r="U673" s="128"/>
      <c r="V673" s="247"/>
      <c r="W673" s="128"/>
      <c r="X673" s="247"/>
      <c r="Y673" s="128"/>
      <c r="Z673" s="247"/>
      <c r="AA673" s="128"/>
      <c r="AB673" s="247"/>
      <c r="AC673" s="128"/>
      <c r="AD673" s="247"/>
      <c r="AE673" s="128"/>
      <c r="AF673" s="247"/>
      <c r="AG673" s="128"/>
      <c r="AH673" s="247"/>
      <c r="AI673" s="128"/>
      <c r="AJ673" s="247"/>
      <c r="AK673" s="128"/>
      <c r="AL673" s="247"/>
      <c r="AM673" s="128"/>
      <c r="AN673" s="146"/>
    </row>
    <row r="674" spans="1:40" s="121" customFormat="1" ht="15" customHeight="1">
      <c r="A674" s="353" t="s">
        <v>1036</v>
      </c>
      <c r="B674" s="353" t="s">
        <v>871</v>
      </c>
      <c r="C674" s="354">
        <v>228635</v>
      </c>
      <c r="D674" s="355">
        <v>15</v>
      </c>
      <c r="E674" s="165">
        <v>2280</v>
      </c>
      <c r="F674" s="356">
        <v>4927</v>
      </c>
      <c r="G674" s="165">
        <v>9360</v>
      </c>
      <c r="H674" s="356">
        <v>16307</v>
      </c>
      <c r="I674" s="165">
        <v>2126</v>
      </c>
      <c r="J674" s="247">
        <v>4996.8</v>
      </c>
      <c r="K674" s="165">
        <v>7624</v>
      </c>
      <c r="L674" s="247">
        <v>16231.2</v>
      </c>
      <c r="M674" s="165"/>
      <c r="N674" s="356"/>
      <c r="O674" s="165"/>
      <c r="P674" s="356"/>
      <c r="Q674" s="165">
        <v>7135</v>
      </c>
      <c r="R674" s="356">
        <v>9707</v>
      </c>
      <c r="S674" s="165">
        <v>23538</v>
      </c>
      <c r="T674" s="356">
        <v>22807</v>
      </c>
      <c r="U674" s="165"/>
      <c r="V674" s="356"/>
      <c r="W674" s="165"/>
      <c r="X674" s="356"/>
      <c r="Y674" s="165"/>
      <c r="Z674" s="356"/>
      <c r="AA674" s="165"/>
      <c r="AB674" s="356"/>
      <c r="AC674" s="165"/>
      <c r="AD674" s="356"/>
      <c r="AE674" s="165"/>
      <c r="AF674" s="356"/>
      <c r="AG674" s="165"/>
      <c r="AH674" s="356"/>
      <c r="AI674" s="165"/>
      <c r="AJ674" s="356"/>
      <c r="AK674" s="165"/>
      <c r="AL674" s="356"/>
      <c r="AM674" s="165"/>
      <c r="AN674" s="166"/>
    </row>
    <row r="675" spans="1:40" s="121" customFormat="1" ht="15" customHeight="1">
      <c r="A675" s="122" t="s">
        <v>398</v>
      </c>
      <c r="B675" s="122" t="s">
        <v>596</v>
      </c>
      <c r="C675" s="144">
        <v>234076</v>
      </c>
      <c r="D675" s="124">
        <v>1</v>
      </c>
      <c r="E675" s="128">
        <v>5964</v>
      </c>
      <c r="F675" s="146">
        <v>6600</v>
      </c>
      <c r="G675" s="128">
        <v>21984</v>
      </c>
      <c r="H675" s="146">
        <v>22700</v>
      </c>
      <c r="I675" s="128">
        <v>7856</v>
      </c>
      <c r="J675" s="146">
        <v>9200</v>
      </c>
      <c r="K675" s="128">
        <v>19964</v>
      </c>
      <c r="L675" s="146">
        <v>20200</v>
      </c>
      <c r="M675" s="128">
        <v>23798</v>
      </c>
      <c r="N675" s="146">
        <v>26100</v>
      </c>
      <c r="O675" s="128">
        <v>29201</v>
      </c>
      <c r="P675" s="146">
        <v>31100</v>
      </c>
      <c r="Q675" s="128">
        <v>22486</v>
      </c>
      <c r="R675" s="146">
        <v>26074</v>
      </c>
      <c r="S675" s="128">
        <v>34536</v>
      </c>
      <c r="T675" s="146">
        <v>36633</v>
      </c>
      <c r="U675" s="128"/>
      <c r="V675" s="146"/>
      <c r="W675" s="128"/>
      <c r="X675" s="146"/>
      <c r="Y675" s="128"/>
      <c r="Z675" s="146"/>
      <c r="AA675" s="128"/>
      <c r="AB675" s="146"/>
      <c r="AC675" s="128"/>
      <c r="AD675" s="146"/>
      <c r="AE675" s="128"/>
      <c r="AF675" s="146"/>
      <c r="AG675" s="128"/>
      <c r="AH675" s="146"/>
      <c r="AI675" s="128"/>
      <c r="AJ675" s="146"/>
      <c r="AK675" s="128"/>
      <c r="AL675" s="146"/>
      <c r="AM675" s="128"/>
      <c r="AN675" s="146"/>
    </row>
    <row r="676" spans="1:40" s="121" customFormat="1" ht="15" customHeight="1">
      <c r="A676" s="122" t="s">
        <v>398</v>
      </c>
      <c r="B676" s="122" t="s">
        <v>597</v>
      </c>
      <c r="C676" s="144">
        <v>233921</v>
      </c>
      <c r="D676" s="124">
        <v>1</v>
      </c>
      <c r="E676" s="128">
        <v>5095</v>
      </c>
      <c r="F676" s="146">
        <v>5838</v>
      </c>
      <c r="G676" s="128">
        <v>15029</v>
      </c>
      <c r="H676" s="146">
        <v>16581</v>
      </c>
      <c r="I676" s="128">
        <v>6944</v>
      </c>
      <c r="J676" s="146">
        <v>7512</v>
      </c>
      <c r="K676" s="128">
        <v>10663</v>
      </c>
      <c r="L676" s="146">
        <v>11682</v>
      </c>
      <c r="M676" s="128"/>
      <c r="N676" s="146"/>
      <c r="O676" s="128"/>
      <c r="P676" s="146"/>
      <c r="Q676" s="128"/>
      <c r="R676" s="146"/>
      <c r="S676" s="128"/>
      <c r="T676" s="146"/>
      <c r="U676" s="128"/>
      <c r="V676" s="146"/>
      <c r="W676" s="128"/>
      <c r="X676" s="146"/>
      <c r="Y676" s="128"/>
      <c r="Z676" s="146"/>
      <c r="AA676" s="128"/>
      <c r="AB676" s="146"/>
      <c r="AC676" s="128"/>
      <c r="AD676" s="146"/>
      <c r="AE676" s="128"/>
      <c r="AF676" s="146"/>
      <c r="AG676" s="128"/>
      <c r="AH676" s="146"/>
      <c r="AI676" s="128"/>
      <c r="AJ676" s="146"/>
      <c r="AK676" s="128">
        <v>11746</v>
      </c>
      <c r="AL676" s="146">
        <v>12867</v>
      </c>
      <c r="AM676" s="287">
        <v>27916</v>
      </c>
      <c r="AN676" s="146">
        <v>29139</v>
      </c>
    </row>
    <row r="677" spans="1:40" s="121" customFormat="1" ht="15" customHeight="1">
      <c r="A677" s="122" t="s">
        <v>398</v>
      </c>
      <c r="B677" s="122" t="s">
        <v>598</v>
      </c>
      <c r="C677" s="144">
        <v>231624</v>
      </c>
      <c r="D677" s="124">
        <v>2</v>
      </c>
      <c r="E677" s="128">
        <v>6430</v>
      </c>
      <c r="F677" s="146">
        <v>7096</v>
      </c>
      <c r="G677" s="128">
        <v>21216</v>
      </c>
      <c r="H677" s="146">
        <v>21902</v>
      </c>
      <c r="I677" s="128">
        <v>7532</v>
      </c>
      <c r="J677" s="146">
        <v>8198</v>
      </c>
      <c r="K677" s="128">
        <v>19196</v>
      </c>
      <c r="L677" s="146">
        <v>19882</v>
      </c>
      <c r="M677" s="128">
        <v>13159</v>
      </c>
      <c r="N677" s="146">
        <v>14160</v>
      </c>
      <c r="O677" s="128">
        <v>23399</v>
      </c>
      <c r="P677" s="146">
        <v>24400</v>
      </c>
      <c r="Q677" s="128"/>
      <c r="R677" s="146"/>
      <c r="S677" s="128"/>
      <c r="T677" s="146"/>
      <c r="U677" s="128"/>
      <c r="V677" s="146"/>
      <c r="W677" s="128"/>
      <c r="X677" s="146"/>
      <c r="Y677" s="128"/>
      <c r="Z677" s="146"/>
      <c r="AA677" s="128"/>
      <c r="AB677" s="146"/>
      <c r="AC677" s="128"/>
      <c r="AD677" s="146"/>
      <c r="AE677" s="128"/>
      <c r="AF677" s="146"/>
      <c r="AG677" s="128"/>
      <c r="AH677" s="146"/>
      <c r="AI677" s="128"/>
      <c r="AJ677" s="146"/>
      <c r="AK677" s="128"/>
      <c r="AL677" s="146"/>
      <c r="AM677" s="128"/>
      <c r="AN677" s="146"/>
    </row>
    <row r="678" spans="1:40" s="121" customFormat="1" ht="15" customHeight="1">
      <c r="A678" s="122" t="s">
        <v>398</v>
      </c>
      <c r="B678" s="122" t="s">
        <v>599</v>
      </c>
      <c r="C678" s="144">
        <v>232186</v>
      </c>
      <c r="D678" s="124">
        <v>2</v>
      </c>
      <c r="E678" s="128">
        <v>5112</v>
      </c>
      <c r="F678" s="146">
        <v>5448</v>
      </c>
      <c r="G678" s="128">
        <v>14952</v>
      </c>
      <c r="H678" s="146">
        <v>15816</v>
      </c>
      <c r="I678" s="128">
        <v>5880</v>
      </c>
      <c r="J678" s="146">
        <v>6264</v>
      </c>
      <c r="K678" s="128">
        <v>14952</v>
      </c>
      <c r="L678" s="146">
        <v>15816</v>
      </c>
      <c r="M678" s="128">
        <v>10262</v>
      </c>
      <c r="N678" s="146">
        <v>10906</v>
      </c>
      <c r="O678" s="128">
        <v>20412</v>
      </c>
      <c r="P678" s="146">
        <v>21532</v>
      </c>
      <c r="Q678" s="128"/>
      <c r="R678" s="146"/>
      <c r="S678" s="128"/>
      <c r="T678" s="146"/>
      <c r="U678" s="128"/>
      <c r="V678" s="146"/>
      <c r="W678" s="128"/>
      <c r="X678" s="146"/>
      <c r="Y678" s="128"/>
      <c r="Z678" s="146"/>
      <c r="AA678" s="128"/>
      <c r="AB678" s="146"/>
      <c r="AC678" s="128"/>
      <c r="AD678" s="146"/>
      <c r="AE678" s="128"/>
      <c r="AF678" s="146"/>
      <c r="AG678" s="128"/>
      <c r="AH678" s="146"/>
      <c r="AI678" s="128"/>
      <c r="AJ678" s="146"/>
      <c r="AK678" s="128"/>
      <c r="AL678" s="146"/>
      <c r="AM678" s="128"/>
      <c r="AN678" s="146"/>
    </row>
    <row r="679" spans="1:40" s="121" customFormat="1" ht="15" customHeight="1">
      <c r="A679" s="122" t="s">
        <v>398</v>
      </c>
      <c r="B679" s="122" t="s">
        <v>600</v>
      </c>
      <c r="C679" s="144">
        <v>232982</v>
      </c>
      <c r="D679" s="124">
        <v>2</v>
      </c>
      <c r="E679" s="128">
        <v>4928</v>
      </c>
      <c r="F679" s="146">
        <v>5268</v>
      </c>
      <c r="G679" s="128">
        <v>14078</v>
      </c>
      <c r="H679" s="146">
        <v>14688</v>
      </c>
      <c r="I679" s="128">
        <v>5798</v>
      </c>
      <c r="J679" s="146">
        <v>6072</v>
      </c>
      <c r="K679" s="128">
        <v>14640</v>
      </c>
      <c r="L679" s="146">
        <v>15322</v>
      </c>
      <c r="M679" s="128"/>
      <c r="N679" s="146"/>
      <c r="O679" s="128"/>
      <c r="P679" s="146"/>
      <c r="Q679" s="128"/>
      <c r="R679" s="146"/>
      <c r="S679" s="128"/>
      <c r="T679" s="146"/>
      <c r="U679" s="128"/>
      <c r="V679" s="146"/>
      <c r="W679" s="128"/>
      <c r="X679" s="146"/>
      <c r="Y679" s="128"/>
      <c r="Z679" s="146"/>
      <c r="AA679" s="128"/>
      <c r="AB679" s="146"/>
      <c r="AC679" s="128"/>
      <c r="AD679" s="146"/>
      <c r="AE679" s="128"/>
      <c r="AF679" s="146"/>
      <c r="AG679" s="128"/>
      <c r="AH679" s="146"/>
      <c r="AI679" s="128"/>
      <c r="AJ679" s="146"/>
      <c r="AK679" s="128"/>
      <c r="AL679" s="146"/>
      <c r="AM679" s="128"/>
      <c r="AN679" s="146"/>
    </row>
    <row r="680" spans="1:40" s="121" customFormat="1" ht="15" customHeight="1">
      <c r="A680" s="122" t="s">
        <v>398</v>
      </c>
      <c r="B680" s="122" t="s">
        <v>601</v>
      </c>
      <c r="C680" s="144">
        <v>234030</v>
      </c>
      <c r="D680" s="124">
        <v>2</v>
      </c>
      <c r="E680" s="128">
        <v>4869</v>
      </c>
      <c r="F680" s="146">
        <v>5138</v>
      </c>
      <c r="G680" s="128">
        <v>17213</v>
      </c>
      <c r="H680" s="146">
        <v>17302</v>
      </c>
      <c r="I680" s="128">
        <v>7030</v>
      </c>
      <c r="J680" s="146">
        <v>7390</v>
      </c>
      <c r="K680" s="128">
        <v>17197</v>
      </c>
      <c r="L680" s="146">
        <v>17268</v>
      </c>
      <c r="M680" s="128"/>
      <c r="N680" s="146"/>
      <c r="O680" s="128"/>
      <c r="P680" s="146"/>
      <c r="Q680" s="128">
        <v>20023</v>
      </c>
      <c r="R680" s="146">
        <v>21924</v>
      </c>
      <c r="S680" s="128">
        <v>35891</v>
      </c>
      <c r="T680" s="146">
        <v>37314</v>
      </c>
      <c r="U680" s="128">
        <v>20816</v>
      </c>
      <c r="V680" s="146">
        <v>19487</v>
      </c>
      <c r="W680" s="128">
        <v>37628</v>
      </c>
      <c r="X680" s="146">
        <v>35679</v>
      </c>
      <c r="Y680" s="128">
        <v>15851</v>
      </c>
      <c r="Z680" s="146">
        <v>16611</v>
      </c>
      <c r="AA680" s="128">
        <v>24161</v>
      </c>
      <c r="AB680" s="146">
        <v>24212</v>
      </c>
      <c r="AC680" s="128"/>
      <c r="AD680" s="146"/>
      <c r="AE680" s="128"/>
      <c r="AF680" s="146"/>
      <c r="AG680" s="128"/>
      <c r="AH680" s="146"/>
      <c r="AI680" s="128"/>
      <c r="AJ680" s="146"/>
      <c r="AK680" s="128"/>
      <c r="AL680" s="146"/>
      <c r="AM680" s="128"/>
      <c r="AN680" s="146"/>
    </row>
    <row r="681" spans="1:40" s="121" customFormat="1" ht="15" customHeight="1">
      <c r="A681" s="122" t="s">
        <v>398</v>
      </c>
      <c r="B681" s="122" t="s">
        <v>602</v>
      </c>
      <c r="C681" s="144">
        <v>232423</v>
      </c>
      <c r="D681" s="124">
        <v>3</v>
      </c>
      <c r="E681" s="128">
        <v>5058</v>
      </c>
      <c r="F681" s="146">
        <v>5476</v>
      </c>
      <c r="G681" s="128">
        <v>13280</v>
      </c>
      <c r="H681" s="146">
        <v>14420</v>
      </c>
      <c r="I681" s="128">
        <v>4824</v>
      </c>
      <c r="J681" s="146">
        <v>5424</v>
      </c>
      <c r="K681" s="128">
        <v>14520</v>
      </c>
      <c r="L681" s="146">
        <v>15850</v>
      </c>
      <c r="M681" s="128"/>
      <c r="N681" s="146"/>
      <c r="O681" s="128"/>
      <c r="P681" s="146"/>
      <c r="Q681" s="128"/>
      <c r="R681" s="146"/>
      <c r="S681" s="128"/>
      <c r="T681" s="146"/>
      <c r="U681" s="128"/>
      <c r="V681" s="146"/>
      <c r="W681" s="128"/>
      <c r="X681" s="146"/>
      <c r="Y681" s="128"/>
      <c r="Z681" s="146"/>
      <c r="AA681" s="128"/>
      <c r="AB681" s="146"/>
      <c r="AC681" s="128"/>
      <c r="AD681" s="146"/>
      <c r="AE681" s="128"/>
      <c r="AF681" s="146"/>
      <c r="AG681" s="128"/>
      <c r="AH681" s="146"/>
      <c r="AI681" s="128"/>
      <c r="AJ681" s="146"/>
      <c r="AK681" s="128"/>
      <c r="AL681" s="146"/>
      <c r="AM681" s="128"/>
      <c r="AN681" s="146"/>
    </row>
    <row r="682" spans="1:40" s="121" customFormat="1" ht="15" customHeight="1">
      <c r="A682" s="122" t="s">
        <v>398</v>
      </c>
      <c r="B682" s="122" t="s">
        <v>603</v>
      </c>
      <c r="C682" s="144">
        <v>233277</v>
      </c>
      <c r="D682" s="124">
        <v>3</v>
      </c>
      <c r="E682" s="128">
        <v>4140</v>
      </c>
      <c r="F682" s="146">
        <v>4762</v>
      </c>
      <c r="G682" s="128">
        <v>11202</v>
      </c>
      <c r="H682" s="146">
        <v>11760</v>
      </c>
      <c r="I682" s="128">
        <v>5162</v>
      </c>
      <c r="J682" s="146">
        <v>5420</v>
      </c>
      <c r="K682" s="128">
        <v>9530</v>
      </c>
      <c r="L682" s="146">
        <v>10004</v>
      </c>
      <c r="M682" s="128"/>
      <c r="N682" s="146"/>
      <c r="O682" s="128"/>
      <c r="P682" s="146"/>
      <c r="Q682" s="128"/>
      <c r="R682" s="146"/>
      <c r="S682" s="128"/>
      <c r="T682" s="146"/>
      <c r="U682" s="128"/>
      <c r="V682" s="146"/>
      <c r="W682" s="128"/>
      <c r="X682" s="146"/>
      <c r="Y682" s="128"/>
      <c r="Z682" s="146"/>
      <c r="AA682" s="128"/>
      <c r="AB682" s="146"/>
      <c r="AC682" s="128"/>
      <c r="AD682" s="146"/>
      <c r="AE682" s="128"/>
      <c r="AF682" s="146"/>
      <c r="AG682" s="128"/>
      <c r="AH682" s="146"/>
      <c r="AI682" s="128"/>
      <c r="AJ682" s="146"/>
      <c r="AK682" s="128"/>
      <c r="AL682" s="146"/>
      <c r="AM682" s="128"/>
      <c r="AN682" s="146"/>
    </row>
    <row r="683" spans="1:40" s="121" customFormat="1" ht="15" customHeight="1">
      <c r="A683" s="122" t="s">
        <v>398</v>
      </c>
      <c r="B683" s="122" t="s">
        <v>70</v>
      </c>
      <c r="C683" s="144">
        <v>231712</v>
      </c>
      <c r="D683" s="124">
        <v>4</v>
      </c>
      <c r="E683" s="128">
        <v>4600</v>
      </c>
      <c r="F683" s="146">
        <v>5314</v>
      </c>
      <c r="G683" s="128">
        <v>12300</v>
      </c>
      <c r="H683" s="146">
        <v>12676</v>
      </c>
      <c r="I683" s="128"/>
      <c r="J683" s="146"/>
      <c r="K683" s="128"/>
      <c r="L683" s="146"/>
      <c r="M683" s="128"/>
      <c r="N683" s="146"/>
      <c r="O683" s="128"/>
      <c r="P683" s="146"/>
      <c r="Q683" s="128"/>
      <c r="R683" s="146"/>
      <c r="S683" s="128"/>
      <c r="T683" s="146"/>
      <c r="U683" s="128"/>
      <c r="V683" s="146"/>
      <c r="W683" s="128"/>
      <c r="X683" s="146"/>
      <c r="Y683" s="128"/>
      <c r="Z683" s="146"/>
      <c r="AA683" s="128"/>
      <c r="AB683" s="146"/>
      <c r="AC683" s="128"/>
      <c r="AD683" s="146"/>
      <c r="AE683" s="128"/>
      <c r="AF683" s="146"/>
      <c r="AG683" s="128"/>
      <c r="AH683" s="146"/>
      <c r="AI683" s="128"/>
      <c r="AJ683" s="146"/>
      <c r="AK683" s="128"/>
      <c r="AL683" s="146"/>
      <c r="AM683" s="128"/>
      <c r="AN683" s="146"/>
    </row>
    <row r="684" spans="1:40" s="121" customFormat="1" ht="15" customHeight="1">
      <c r="A684" s="122" t="s">
        <v>398</v>
      </c>
      <c r="B684" s="122" t="s">
        <v>67</v>
      </c>
      <c r="C684" s="144">
        <v>232937</v>
      </c>
      <c r="D684" s="124">
        <v>4</v>
      </c>
      <c r="E684" s="128">
        <v>3840</v>
      </c>
      <c r="F684" s="146">
        <v>4295</v>
      </c>
      <c r="G684" s="128">
        <v>13260</v>
      </c>
      <c r="H684" s="146">
        <v>14255</v>
      </c>
      <c r="I684" s="128">
        <v>6024</v>
      </c>
      <c r="J684" s="146">
        <v>6803</v>
      </c>
      <c r="K684" s="128">
        <v>16920</v>
      </c>
      <c r="L684" s="146">
        <v>18155</v>
      </c>
      <c r="M684" s="128"/>
      <c r="N684" s="146"/>
      <c r="O684" s="128"/>
      <c r="P684" s="146"/>
      <c r="Q684" s="128"/>
      <c r="R684" s="146"/>
      <c r="S684" s="128"/>
      <c r="T684" s="146"/>
      <c r="U684" s="128"/>
      <c r="V684" s="146"/>
      <c r="W684" s="128"/>
      <c r="X684" s="146"/>
      <c r="Y684" s="128"/>
      <c r="Z684" s="146"/>
      <c r="AA684" s="128"/>
      <c r="AB684" s="146"/>
      <c r="AC684" s="128"/>
      <c r="AD684" s="146"/>
      <c r="AE684" s="128"/>
      <c r="AF684" s="146"/>
      <c r="AG684" s="128"/>
      <c r="AH684" s="146"/>
      <c r="AI684" s="128"/>
      <c r="AJ684" s="146"/>
      <c r="AK684" s="128"/>
      <c r="AL684" s="146"/>
      <c r="AM684" s="128"/>
      <c r="AN684" s="146"/>
    </row>
    <row r="685" spans="1:40" s="121" customFormat="1" ht="15" customHeight="1">
      <c r="A685" s="122" t="s">
        <v>398</v>
      </c>
      <c r="B685" s="122" t="s">
        <v>68</v>
      </c>
      <c r="C685" s="144">
        <v>234155</v>
      </c>
      <c r="D685" s="124">
        <v>4</v>
      </c>
      <c r="E685" s="128">
        <v>4350</v>
      </c>
      <c r="F685" s="146">
        <v>4544</v>
      </c>
      <c r="G685" s="128">
        <v>11260</v>
      </c>
      <c r="H685" s="146">
        <v>11462</v>
      </c>
      <c r="I685" s="128">
        <v>5346</v>
      </c>
      <c r="J685" s="146">
        <v>5566</v>
      </c>
      <c r="K685" s="128">
        <v>12142</v>
      </c>
      <c r="L685" s="146">
        <v>12370</v>
      </c>
      <c r="M685" s="128"/>
      <c r="N685" s="146"/>
      <c r="O685" s="128"/>
      <c r="P685" s="146"/>
      <c r="Q685" s="128"/>
      <c r="R685" s="146"/>
      <c r="S685" s="128"/>
      <c r="T685" s="146"/>
      <c r="U685" s="128"/>
      <c r="V685" s="146"/>
      <c r="W685" s="128"/>
      <c r="X685" s="146"/>
      <c r="Y685" s="128"/>
      <c r="Z685" s="146"/>
      <c r="AA685" s="128"/>
      <c r="AB685" s="146"/>
      <c r="AC685" s="128"/>
      <c r="AD685" s="146"/>
      <c r="AE685" s="128"/>
      <c r="AF685" s="146"/>
      <c r="AG685" s="128"/>
      <c r="AH685" s="146"/>
      <c r="AI685" s="128"/>
      <c r="AJ685" s="146"/>
      <c r="AK685" s="128"/>
      <c r="AL685" s="146"/>
      <c r="AM685" s="128"/>
      <c r="AN685" s="146"/>
    </row>
    <row r="686" spans="1:40" s="121" customFormat="1" ht="15" customHeight="1">
      <c r="A686" s="122" t="s">
        <v>398</v>
      </c>
      <c r="B686" s="266" t="s">
        <v>69</v>
      </c>
      <c r="C686" s="144">
        <v>232566</v>
      </c>
      <c r="D686" s="124">
        <v>5</v>
      </c>
      <c r="E686" s="128">
        <v>5877</v>
      </c>
      <c r="F686" s="146">
        <v>6441</v>
      </c>
      <c r="G686" s="128">
        <v>11828</v>
      </c>
      <c r="H686" s="146">
        <v>12951</v>
      </c>
      <c r="I686" s="128">
        <v>7583</v>
      </c>
      <c r="J686" s="146">
        <v>8305</v>
      </c>
      <c r="K686" s="128">
        <v>13416</v>
      </c>
      <c r="L686" s="146">
        <v>14691</v>
      </c>
      <c r="M686" s="128"/>
      <c r="N686" s="146"/>
      <c r="O686" s="128"/>
      <c r="P686" s="146"/>
      <c r="Q686" s="128"/>
      <c r="R686" s="146"/>
      <c r="S686" s="128"/>
      <c r="T686" s="146"/>
      <c r="U686" s="128"/>
      <c r="V686" s="146"/>
      <c r="W686" s="128"/>
      <c r="X686" s="146"/>
      <c r="Y686" s="128"/>
      <c r="Z686" s="146"/>
      <c r="AA686" s="128"/>
      <c r="AB686" s="146"/>
      <c r="AC686" s="128"/>
      <c r="AD686" s="146"/>
      <c r="AE686" s="128"/>
      <c r="AF686" s="146"/>
      <c r="AG686" s="128"/>
      <c r="AH686" s="146"/>
      <c r="AI686" s="128"/>
      <c r="AJ686" s="146"/>
      <c r="AK686" s="128"/>
      <c r="AL686" s="146"/>
      <c r="AM686" s="128"/>
      <c r="AN686" s="146"/>
    </row>
    <row r="687" spans="1:40" s="121" customFormat="1" ht="15" customHeight="1">
      <c r="A687" s="122" t="s">
        <v>398</v>
      </c>
      <c r="B687" s="122" t="s">
        <v>591</v>
      </c>
      <c r="C687" s="144">
        <v>232681</v>
      </c>
      <c r="D687" s="124">
        <v>6</v>
      </c>
      <c r="E687" s="128">
        <v>4688</v>
      </c>
      <c r="F687" s="146">
        <v>5127</v>
      </c>
      <c r="G687" s="128">
        <v>12332</v>
      </c>
      <c r="H687" s="146">
        <v>13533</v>
      </c>
      <c r="I687" s="128">
        <v>3816</v>
      </c>
      <c r="J687" s="146">
        <v>4158</v>
      </c>
      <c r="K687" s="128">
        <v>8838</v>
      </c>
      <c r="L687" s="146">
        <v>9612</v>
      </c>
      <c r="M687" s="128"/>
      <c r="N687" s="146"/>
      <c r="O687" s="128"/>
      <c r="P687" s="146"/>
      <c r="Q687" s="128"/>
      <c r="R687" s="146"/>
      <c r="S687" s="128"/>
      <c r="T687" s="146"/>
      <c r="U687" s="128"/>
      <c r="V687" s="146"/>
      <c r="W687" s="128"/>
      <c r="X687" s="146"/>
      <c r="Y687" s="128"/>
      <c r="Z687" s="146"/>
      <c r="AA687" s="128"/>
      <c r="AB687" s="146"/>
      <c r="AC687" s="128"/>
      <c r="AD687" s="146"/>
      <c r="AE687" s="128"/>
      <c r="AF687" s="146"/>
      <c r="AG687" s="128"/>
      <c r="AH687" s="146"/>
      <c r="AI687" s="128"/>
      <c r="AJ687" s="146"/>
      <c r="AK687" s="128"/>
      <c r="AL687" s="146"/>
      <c r="AM687" s="128"/>
      <c r="AN687" s="146"/>
    </row>
    <row r="688" spans="1:40" s="121" customFormat="1" ht="15" customHeight="1">
      <c r="A688" s="122" t="s">
        <v>398</v>
      </c>
      <c r="B688" s="122" t="s">
        <v>71</v>
      </c>
      <c r="C688" s="144">
        <v>233897</v>
      </c>
      <c r="D688" s="124">
        <v>6</v>
      </c>
      <c r="E688" s="128">
        <v>4496</v>
      </c>
      <c r="F688" s="146">
        <v>4782</v>
      </c>
      <c r="G688" s="128">
        <v>13383</v>
      </c>
      <c r="H688" s="146">
        <v>14202</v>
      </c>
      <c r="I688" s="128"/>
      <c r="J688" s="146"/>
      <c r="K688" s="128"/>
      <c r="L688" s="146"/>
      <c r="M688" s="128"/>
      <c r="N688" s="146"/>
      <c r="O688" s="128"/>
      <c r="P688" s="146"/>
      <c r="Q688" s="128"/>
      <c r="R688" s="146"/>
      <c r="S688" s="128"/>
      <c r="T688" s="146"/>
      <c r="U688" s="128"/>
      <c r="V688" s="146"/>
      <c r="W688" s="128"/>
      <c r="X688" s="146"/>
      <c r="Y688" s="128"/>
      <c r="Z688" s="146"/>
      <c r="AA688" s="128"/>
      <c r="AB688" s="146"/>
      <c r="AC688" s="128"/>
      <c r="AD688" s="146"/>
      <c r="AE688" s="128"/>
      <c r="AF688" s="146"/>
      <c r="AG688" s="128"/>
      <c r="AH688" s="146"/>
      <c r="AI688" s="128"/>
      <c r="AJ688" s="146"/>
      <c r="AK688" s="128"/>
      <c r="AL688" s="146"/>
      <c r="AM688" s="128"/>
      <c r="AN688" s="146"/>
    </row>
    <row r="689" spans="1:40" s="121" customFormat="1" ht="15" customHeight="1">
      <c r="A689" s="122" t="s">
        <v>398</v>
      </c>
      <c r="B689" s="122" t="s">
        <v>72</v>
      </c>
      <c r="C689" s="144">
        <v>232414</v>
      </c>
      <c r="D689" s="124">
        <v>8</v>
      </c>
      <c r="E689" s="128">
        <v>1883</v>
      </c>
      <c r="F689" s="146">
        <v>2006</v>
      </c>
      <c r="G689" s="128">
        <v>6306</v>
      </c>
      <c r="H689" s="146">
        <v>6429</v>
      </c>
      <c r="I689" s="128"/>
      <c r="J689" s="146"/>
      <c r="K689" s="128"/>
      <c r="L689" s="146"/>
      <c r="M689" s="128"/>
      <c r="N689" s="146"/>
      <c r="O689" s="128"/>
      <c r="P689" s="146"/>
      <c r="Q689" s="128"/>
      <c r="R689" s="146"/>
      <c r="S689" s="128"/>
      <c r="T689" s="146"/>
      <c r="U689" s="128"/>
      <c r="V689" s="146"/>
      <c r="W689" s="128"/>
      <c r="X689" s="146"/>
      <c r="Y689" s="128"/>
      <c r="Z689" s="146"/>
      <c r="AA689" s="128"/>
      <c r="AB689" s="146"/>
      <c r="AC689" s="128"/>
      <c r="AD689" s="146"/>
      <c r="AE689" s="128"/>
      <c r="AF689" s="146"/>
      <c r="AG689" s="128"/>
      <c r="AH689" s="146"/>
      <c r="AI689" s="128"/>
      <c r="AJ689" s="146"/>
      <c r="AK689" s="128"/>
      <c r="AL689" s="146"/>
      <c r="AM689" s="128"/>
      <c r="AN689" s="146"/>
    </row>
    <row r="690" spans="1:40" s="121" customFormat="1" ht="15" customHeight="1">
      <c r="A690" s="122" t="s">
        <v>398</v>
      </c>
      <c r="B690" s="122" t="s">
        <v>73</v>
      </c>
      <c r="C690" s="144">
        <v>232946</v>
      </c>
      <c r="D690" s="124">
        <v>8</v>
      </c>
      <c r="E690" s="128">
        <v>1883</v>
      </c>
      <c r="F690" s="146">
        <v>2006</v>
      </c>
      <c r="G690" s="128">
        <v>6306</v>
      </c>
      <c r="H690" s="146">
        <v>6429</v>
      </c>
      <c r="I690" s="128"/>
      <c r="J690" s="146"/>
      <c r="K690" s="128"/>
      <c r="L690" s="146"/>
      <c r="M690" s="128"/>
      <c r="N690" s="146"/>
      <c r="O690" s="128"/>
      <c r="P690" s="146"/>
      <c r="Q690" s="128"/>
      <c r="R690" s="146"/>
      <c r="S690" s="128"/>
      <c r="T690" s="146"/>
      <c r="U690" s="128"/>
      <c r="V690" s="146"/>
      <c r="W690" s="128"/>
      <c r="X690" s="146"/>
      <c r="Y690" s="128"/>
      <c r="Z690" s="146"/>
      <c r="AA690" s="128"/>
      <c r="AB690" s="146"/>
      <c r="AC690" s="128"/>
      <c r="AD690" s="146"/>
      <c r="AE690" s="128"/>
      <c r="AF690" s="146"/>
      <c r="AG690" s="128"/>
      <c r="AH690" s="146"/>
      <c r="AI690" s="128"/>
      <c r="AJ690" s="146"/>
      <c r="AK690" s="128"/>
      <c r="AL690" s="146"/>
      <c r="AM690" s="128"/>
      <c r="AN690" s="146"/>
    </row>
    <row r="691" spans="1:40" s="121" customFormat="1" ht="15" customHeight="1">
      <c r="A691" s="122" t="s">
        <v>398</v>
      </c>
      <c r="B691" s="122" t="s">
        <v>74</v>
      </c>
      <c r="C691" s="144">
        <v>233772</v>
      </c>
      <c r="D691" s="124">
        <v>8</v>
      </c>
      <c r="E691" s="128">
        <v>1883</v>
      </c>
      <c r="F691" s="146">
        <v>2006</v>
      </c>
      <c r="G691" s="128">
        <v>6306</v>
      </c>
      <c r="H691" s="146">
        <v>6429</v>
      </c>
      <c r="I691" s="128"/>
      <c r="J691" s="146"/>
      <c r="K691" s="128"/>
      <c r="L691" s="146"/>
      <c r="M691" s="128"/>
      <c r="N691" s="146"/>
      <c r="O691" s="128"/>
      <c r="P691" s="146"/>
      <c r="Q691" s="128"/>
      <c r="R691" s="146"/>
      <c r="S691" s="128"/>
      <c r="T691" s="146"/>
      <c r="U691" s="128"/>
      <c r="V691" s="146"/>
      <c r="W691" s="128"/>
      <c r="X691" s="146"/>
      <c r="Y691" s="128"/>
      <c r="Z691" s="146"/>
      <c r="AA691" s="128"/>
      <c r="AB691" s="146"/>
      <c r="AC691" s="128"/>
      <c r="AD691" s="146"/>
      <c r="AE691" s="128"/>
      <c r="AF691" s="146"/>
      <c r="AG691" s="128"/>
      <c r="AH691" s="146"/>
      <c r="AI691" s="128"/>
      <c r="AJ691" s="146"/>
      <c r="AK691" s="128"/>
      <c r="AL691" s="146"/>
      <c r="AM691" s="128"/>
      <c r="AN691" s="146"/>
    </row>
    <row r="692" spans="1:40" s="121" customFormat="1" ht="15" customHeight="1">
      <c r="A692" s="122" t="s">
        <v>398</v>
      </c>
      <c r="B692" s="122" t="s">
        <v>543</v>
      </c>
      <c r="C692" s="144">
        <v>231536</v>
      </c>
      <c r="D692" s="124">
        <v>9</v>
      </c>
      <c r="E692" s="128">
        <v>1883</v>
      </c>
      <c r="F692" s="146">
        <v>2006</v>
      </c>
      <c r="G692" s="128">
        <v>6306</v>
      </c>
      <c r="H692" s="146">
        <v>6429</v>
      </c>
      <c r="I692" s="128"/>
      <c r="J692" s="146"/>
      <c r="K692" s="128"/>
      <c r="L692" s="146"/>
      <c r="M692" s="128"/>
      <c r="N692" s="146"/>
      <c r="O692" s="128"/>
      <c r="P692" s="146"/>
      <c r="Q692" s="128"/>
      <c r="R692" s="146"/>
      <c r="S692" s="128"/>
      <c r="T692" s="146"/>
      <c r="U692" s="128"/>
      <c r="V692" s="146"/>
      <c r="W692" s="128"/>
      <c r="X692" s="146"/>
      <c r="Y692" s="128"/>
      <c r="Z692" s="146"/>
      <c r="AA692" s="128"/>
      <c r="AB692" s="146"/>
      <c r="AC692" s="128"/>
      <c r="AD692" s="146"/>
      <c r="AE692" s="128"/>
      <c r="AF692" s="146"/>
      <c r="AG692" s="128"/>
      <c r="AH692" s="146"/>
      <c r="AI692" s="128"/>
      <c r="AJ692" s="146"/>
      <c r="AK692" s="128"/>
      <c r="AL692" s="146"/>
      <c r="AM692" s="128"/>
      <c r="AN692" s="146"/>
    </row>
    <row r="693" spans="1:40" s="121" customFormat="1" ht="15" customHeight="1">
      <c r="A693" s="122" t="s">
        <v>398</v>
      </c>
      <c r="B693" s="122" t="s">
        <v>75</v>
      </c>
      <c r="C693" s="144">
        <v>231697</v>
      </c>
      <c r="D693" s="124">
        <v>9</v>
      </c>
      <c r="E693" s="128">
        <v>1883</v>
      </c>
      <c r="F693" s="146">
        <v>2006</v>
      </c>
      <c r="G693" s="128">
        <v>6306</v>
      </c>
      <c r="H693" s="146">
        <v>6429</v>
      </c>
      <c r="I693" s="128"/>
      <c r="J693" s="146"/>
      <c r="K693" s="128"/>
      <c r="L693" s="146"/>
      <c r="M693" s="128"/>
      <c r="N693" s="146"/>
      <c r="O693" s="128"/>
      <c r="P693" s="146"/>
      <c r="Q693" s="128"/>
      <c r="R693" s="146"/>
      <c r="S693" s="128"/>
      <c r="T693" s="146"/>
      <c r="U693" s="128"/>
      <c r="V693" s="146"/>
      <c r="W693" s="128"/>
      <c r="X693" s="146"/>
      <c r="Y693" s="128"/>
      <c r="Z693" s="146"/>
      <c r="AA693" s="128"/>
      <c r="AB693" s="146"/>
      <c r="AC693" s="128"/>
      <c r="AD693" s="146"/>
      <c r="AE693" s="128"/>
      <c r="AF693" s="146"/>
      <c r="AG693" s="128"/>
      <c r="AH693" s="146"/>
      <c r="AI693" s="128"/>
      <c r="AJ693" s="146"/>
      <c r="AK693" s="128"/>
      <c r="AL693" s="146"/>
      <c r="AM693" s="128"/>
      <c r="AN693" s="146"/>
    </row>
    <row r="694" spans="1:40" s="121" customFormat="1" ht="15" customHeight="1">
      <c r="A694" s="122" t="s">
        <v>398</v>
      </c>
      <c r="B694" s="122" t="s">
        <v>613</v>
      </c>
      <c r="C694" s="144">
        <v>231882</v>
      </c>
      <c r="D694" s="124">
        <v>9</v>
      </c>
      <c r="E694" s="128">
        <v>1883</v>
      </c>
      <c r="F694" s="146">
        <v>2006</v>
      </c>
      <c r="G694" s="128">
        <v>6306</v>
      </c>
      <c r="H694" s="146">
        <v>6429</v>
      </c>
      <c r="I694" s="128"/>
      <c r="J694" s="146"/>
      <c r="K694" s="128"/>
      <c r="L694" s="146"/>
      <c r="M694" s="128"/>
      <c r="N694" s="146"/>
      <c r="O694" s="128"/>
      <c r="P694" s="146"/>
      <c r="Q694" s="128"/>
      <c r="R694" s="146"/>
      <c r="S694" s="128"/>
      <c r="T694" s="146"/>
      <c r="U694" s="128"/>
      <c r="V694" s="146"/>
      <c r="W694" s="128"/>
      <c r="X694" s="146"/>
      <c r="Y694" s="128"/>
      <c r="Z694" s="146"/>
      <c r="AA694" s="128"/>
      <c r="AB694" s="146"/>
      <c r="AC694" s="128"/>
      <c r="AD694" s="146"/>
      <c r="AE694" s="128"/>
      <c r="AF694" s="146"/>
      <c r="AG694" s="128"/>
      <c r="AH694" s="146"/>
      <c r="AI694" s="128"/>
      <c r="AJ694" s="146"/>
      <c r="AK694" s="128"/>
      <c r="AL694" s="146"/>
      <c r="AM694" s="128"/>
      <c r="AN694" s="146"/>
    </row>
    <row r="695" spans="1:40" s="121" customFormat="1" ht="15" customHeight="1">
      <c r="A695" s="122" t="s">
        <v>398</v>
      </c>
      <c r="B695" s="122" t="s">
        <v>614</v>
      </c>
      <c r="C695" s="144">
        <v>232195</v>
      </c>
      <c r="D695" s="124">
        <v>9</v>
      </c>
      <c r="E695" s="128">
        <v>1883</v>
      </c>
      <c r="F695" s="146">
        <v>2006</v>
      </c>
      <c r="G695" s="128">
        <v>6306</v>
      </c>
      <c r="H695" s="146">
        <v>6429</v>
      </c>
      <c r="I695" s="128"/>
      <c r="J695" s="146"/>
      <c r="K695" s="128"/>
      <c r="L695" s="146"/>
      <c r="M695" s="128"/>
      <c r="N695" s="146"/>
      <c r="O695" s="128"/>
      <c r="P695" s="146"/>
      <c r="Q695" s="128"/>
      <c r="R695" s="146"/>
      <c r="S695" s="128"/>
      <c r="T695" s="146"/>
      <c r="U695" s="128"/>
      <c r="V695" s="146"/>
      <c r="W695" s="128"/>
      <c r="X695" s="146"/>
      <c r="Y695" s="128"/>
      <c r="Z695" s="146"/>
      <c r="AA695" s="128"/>
      <c r="AB695" s="146"/>
      <c r="AC695" s="128"/>
      <c r="AD695" s="146"/>
      <c r="AE695" s="128"/>
      <c r="AF695" s="146"/>
      <c r="AG695" s="128"/>
      <c r="AH695" s="146"/>
      <c r="AI695" s="128"/>
      <c r="AJ695" s="146"/>
      <c r="AK695" s="128"/>
      <c r="AL695" s="146"/>
      <c r="AM695" s="128"/>
      <c r="AN695" s="146"/>
    </row>
    <row r="696" spans="1:40" s="121" customFormat="1" ht="15" customHeight="1">
      <c r="A696" s="122" t="s">
        <v>398</v>
      </c>
      <c r="B696" s="122" t="s">
        <v>615</v>
      </c>
      <c r="C696" s="144">
        <v>232450</v>
      </c>
      <c r="D696" s="124">
        <v>9</v>
      </c>
      <c r="E696" s="128">
        <v>1883</v>
      </c>
      <c r="F696" s="146">
        <v>2006</v>
      </c>
      <c r="G696" s="128">
        <v>6306</v>
      </c>
      <c r="H696" s="146">
        <v>6429</v>
      </c>
      <c r="I696" s="128"/>
      <c r="J696" s="146"/>
      <c r="K696" s="128"/>
      <c r="L696" s="146"/>
      <c r="M696" s="128"/>
      <c r="N696" s="146"/>
      <c r="O696" s="128"/>
      <c r="P696" s="146"/>
      <c r="Q696" s="128"/>
      <c r="R696" s="146"/>
      <c r="S696" s="128"/>
      <c r="T696" s="146"/>
      <c r="U696" s="128"/>
      <c r="V696" s="146"/>
      <c r="W696" s="128"/>
      <c r="X696" s="146"/>
      <c r="Y696" s="128"/>
      <c r="Z696" s="146"/>
      <c r="AA696" s="128"/>
      <c r="AB696" s="146"/>
      <c r="AC696" s="128"/>
      <c r="AD696" s="146"/>
      <c r="AE696" s="128"/>
      <c r="AF696" s="146"/>
      <c r="AG696" s="128"/>
      <c r="AH696" s="146"/>
      <c r="AI696" s="128"/>
      <c r="AJ696" s="146"/>
      <c r="AK696" s="128"/>
      <c r="AL696" s="146"/>
      <c r="AM696" s="128"/>
      <c r="AN696" s="146"/>
    </row>
    <row r="697" spans="1:40" s="121" customFormat="1" ht="15" customHeight="1">
      <c r="A697" s="122" t="s">
        <v>398</v>
      </c>
      <c r="B697" s="122" t="s">
        <v>616</v>
      </c>
      <c r="C697" s="144">
        <v>232575</v>
      </c>
      <c r="D697" s="124">
        <v>9</v>
      </c>
      <c r="E697" s="128">
        <v>1883</v>
      </c>
      <c r="F697" s="146">
        <v>2006</v>
      </c>
      <c r="G697" s="128">
        <v>6306</v>
      </c>
      <c r="H697" s="146">
        <v>6429</v>
      </c>
      <c r="I697" s="128"/>
      <c r="J697" s="146"/>
      <c r="K697" s="128"/>
      <c r="L697" s="146"/>
      <c r="M697" s="128"/>
      <c r="N697" s="146"/>
      <c r="O697" s="128"/>
      <c r="P697" s="146"/>
      <c r="Q697" s="128"/>
      <c r="R697" s="146"/>
      <c r="S697" s="128"/>
      <c r="T697" s="146"/>
      <c r="U697" s="128"/>
      <c r="V697" s="146"/>
      <c r="W697" s="128"/>
      <c r="X697" s="146"/>
      <c r="Y697" s="128"/>
      <c r="Z697" s="146"/>
      <c r="AA697" s="128"/>
      <c r="AB697" s="146"/>
      <c r="AC697" s="128"/>
      <c r="AD697" s="146"/>
      <c r="AE697" s="128"/>
      <c r="AF697" s="146"/>
      <c r="AG697" s="128"/>
      <c r="AH697" s="146"/>
      <c r="AI697" s="128"/>
      <c r="AJ697" s="146"/>
      <c r="AK697" s="128"/>
      <c r="AL697" s="146"/>
      <c r="AM697" s="128"/>
      <c r="AN697" s="146"/>
    </row>
    <row r="698" spans="1:40" s="121" customFormat="1" ht="15" customHeight="1">
      <c r="A698" s="122" t="s">
        <v>398</v>
      </c>
      <c r="B698" s="122" t="s">
        <v>617</v>
      </c>
      <c r="C698" s="144">
        <v>232788</v>
      </c>
      <c r="D698" s="124">
        <v>9</v>
      </c>
      <c r="E698" s="128">
        <v>1883</v>
      </c>
      <c r="F698" s="146">
        <v>2006</v>
      </c>
      <c r="G698" s="128">
        <v>6306</v>
      </c>
      <c r="H698" s="146">
        <v>6429</v>
      </c>
      <c r="I698" s="128"/>
      <c r="J698" s="146"/>
      <c r="K698" s="128"/>
      <c r="L698" s="146"/>
      <c r="M698" s="128"/>
      <c r="N698" s="146"/>
      <c r="O698" s="128"/>
      <c r="P698" s="146"/>
      <c r="Q698" s="128"/>
      <c r="R698" s="146"/>
      <c r="S698" s="128"/>
      <c r="T698" s="146"/>
      <c r="U698" s="128"/>
      <c r="V698" s="146"/>
      <c r="W698" s="128"/>
      <c r="X698" s="146"/>
      <c r="Y698" s="128"/>
      <c r="Z698" s="146"/>
      <c r="AA698" s="128"/>
      <c r="AB698" s="146"/>
      <c r="AC698" s="128"/>
      <c r="AD698" s="146"/>
      <c r="AE698" s="128"/>
      <c r="AF698" s="146"/>
      <c r="AG698" s="128"/>
      <c r="AH698" s="146"/>
      <c r="AI698" s="128"/>
      <c r="AJ698" s="146"/>
      <c r="AK698" s="128"/>
      <c r="AL698" s="146"/>
      <c r="AM698" s="128"/>
      <c r="AN698" s="146"/>
    </row>
    <row r="699" spans="1:40" s="121" customFormat="1" ht="15" customHeight="1">
      <c r="A699" s="122" t="s">
        <v>398</v>
      </c>
      <c r="B699" s="122" t="s">
        <v>618</v>
      </c>
      <c r="C699" s="144">
        <v>232867</v>
      </c>
      <c r="D699" s="124">
        <v>9</v>
      </c>
      <c r="E699" s="128">
        <v>1883</v>
      </c>
      <c r="F699" s="146">
        <v>2006</v>
      </c>
      <c r="G699" s="128">
        <v>6306</v>
      </c>
      <c r="H699" s="146">
        <v>6429</v>
      </c>
      <c r="I699" s="128"/>
      <c r="J699" s="146"/>
      <c r="K699" s="128"/>
      <c r="L699" s="146"/>
      <c r="M699" s="128"/>
      <c r="N699" s="146"/>
      <c r="O699" s="128"/>
      <c r="P699" s="146"/>
      <c r="Q699" s="128"/>
      <c r="R699" s="146"/>
      <c r="S699" s="128"/>
      <c r="T699" s="146"/>
      <c r="U699" s="128"/>
      <c r="V699" s="146"/>
      <c r="W699" s="128"/>
      <c r="X699" s="146"/>
      <c r="Y699" s="128"/>
      <c r="Z699" s="146"/>
      <c r="AA699" s="128"/>
      <c r="AB699" s="146"/>
      <c r="AC699" s="128"/>
      <c r="AD699" s="146"/>
      <c r="AE699" s="128"/>
      <c r="AF699" s="146"/>
      <c r="AG699" s="128"/>
      <c r="AH699" s="146"/>
      <c r="AI699" s="128"/>
      <c r="AJ699" s="146"/>
      <c r="AK699" s="128"/>
      <c r="AL699" s="146"/>
      <c r="AM699" s="128"/>
      <c r="AN699" s="146"/>
    </row>
    <row r="700" spans="1:40" s="121" customFormat="1" ht="15" customHeight="1">
      <c r="A700" s="122" t="s">
        <v>398</v>
      </c>
      <c r="B700" s="122" t="s">
        <v>619</v>
      </c>
      <c r="C700" s="144">
        <v>233116</v>
      </c>
      <c r="D700" s="124">
        <v>9</v>
      </c>
      <c r="E700" s="128">
        <v>1883</v>
      </c>
      <c r="F700" s="146">
        <v>2006</v>
      </c>
      <c r="G700" s="128">
        <v>6306</v>
      </c>
      <c r="H700" s="146">
        <v>6429</v>
      </c>
      <c r="I700" s="128"/>
      <c r="J700" s="146"/>
      <c r="K700" s="128"/>
      <c r="L700" s="146"/>
      <c r="M700" s="128"/>
      <c r="N700" s="146"/>
      <c r="O700" s="128"/>
      <c r="P700" s="146"/>
      <c r="Q700" s="128"/>
      <c r="R700" s="146"/>
      <c r="S700" s="128"/>
      <c r="T700" s="146"/>
      <c r="U700" s="128"/>
      <c r="V700" s="146"/>
      <c r="W700" s="128"/>
      <c r="X700" s="146"/>
      <c r="Y700" s="128"/>
      <c r="Z700" s="146"/>
      <c r="AA700" s="128"/>
      <c r="AB700" s="146"/>
      <c r="AC700" s="128"/>
      <c r="AD700" s="146"/>
      <c r="AE700" s="128"/>
      <c r="AF700" s="146"/>
      <c r="AG700" s="128"/>
      <c r="AH700" s="146"/>
      <c r="AI700" s="128"/>
      <c r="AJ700" s="146"/>
      <c r="AK700" s="128"/>
      <c r="AL700" s="146"/>
      <c r="AM700" s="128"/>
      <c r="AN700" s="146"/>
    </row>
    <row r="701" spans="1:40" s="121" customFormat="1" ht="15" customHeight="1">
      <c r="A701" s="122" t="s">
        <v>398</v>
      </c>
      <c r="B701" s="122" t="s">
        <v>620</v>
      </c>
      <c r="C701" s="144">
        <v>233639</v>
      </c>
      <c r="D701" s="124">
        <v>9</v>
      </c>
      <c r="E701" s="128">
        <v>1883</v>
      </c>
      <c r="F701" s="146">
        <v>2006</v>
      </c>
      <c r="G701" s="128">
        <v>6306</v>
      </c>
      <c r="H701" s="146">
        <v>6429</v>
      </c>
      <c r="I701" s="128"/>
      <c r="J701" s="146"/>
      <c r="K701" s="128"/>
      <c r="L701" s="146"/>
      <c r="M701" s="128"/>
      <c r="N701" s="146"/>
      <c r="O701" s="128"/>
      <c r="P701" s="146"/>
      <c r="Q701" s="128"/>
      <c r="R701" s="146"/>
      <c r="S701" s="128"/>
      <c r="T701" s="146"/>
      <c r="U701" s="128"/>
      <c r="V701" s="146"/>
      <c r="W701" s="128"/>
      <c r="X701" s="146"/>
      <c r="Y701" s="128"/>
      <c r="Z701" s="146"/>
      <c r="AA701" s="128"/>
      <c r="AB701" s="146"/>
      <c r="AC701" s="128"/>
      <c r="AD701" s="146"/>
      <c r="AE701" s="128"/>
      <c r="AF701" s="146"/>
      <c r="AG701" s="128"/>
      <c r="AH701" s="146"/>
      <c r="AI701" s="128"/>
      <c r="AJ701" s="146"/>
      <c r="AK701" s="128"/>
      <c r="AL701" s="146"/>
      <c r="AM701" s="128"/>
      <c r="AN701" s="146"/>
    </row>
    <row r="702" spans="1:40" s="121" customFormat="1" ht="15" customHeight="1">
      <c r="A702" s="122" t="s">
        <v>398</v>
      </c>
      <c r="B702" s="122" t="s">
        <v>621</v>
      </c>
      <c r="C702" s="144">
        <v>233648</v>
      </c>
      <c r="D702" s="124">
        <v>9</v>
      </c>
      <c r="E702" s="128">
        <v>1883</v>
      </c>
      <c r="F702" s="146">
        <v>2006</v>
      </c>
      <c r="G702" s="128">
        <v>6306</v>
      </c>
      <c r="H702" s="146">
        <v>6429</v>
      </c>
      <c r="I702" s="128"/>
      <c r="J702" s="146"/>
      <c r="K702" s="128"/>
      <c r="L702" s="146"/>
      <c r="M702" s="128"/>
      <c r="N702" s="146"/>
      <c r="O702" s="128"/>
      <c r="P702" s="146"/>
      <c r="Q702" s="128"/>
      <c r="R702" s="146"/>
      <c r="S702" s="128"/>
      <c r="T702" s="146"/>
      <c r="U702" s="128"/>
      <c r="V702" s="146"/>
      <c r="W702" s="128"/>
      <c r="X702" s="146"/>
      <c r="Y702" s="128"/>
      <c r="Z702" s="146"/>
      <c r="AA702" s="128"/>
      <c r="AB702" s="146"/>
      <c r="AC702" s="128"/>
      <c r="AD702" s="146"/>
      <c r="AE702" s="128"/>
      <c r="AF702" s="146"/>
      <c r="AG702" s="128"/>
      <c r="AH702" s="146"/>
      <c r="AI702" s="128"/>
      <c r="AJ702" s="146"/>
      <c r="AK702" s="128"/>
      <c r="AL702" s="146"/>
      <c r="AM702" s="128"/>
      <c r="AN702" s="146"/>
    </row>
    <row r="703" spans="1:40" s="121" customFormat="1" ht="15" customHeight="1">
      <c r="A703" s="122" t="s">
        <v>398</v>
      </c>
      <c r="B703" s="122" t="s">
        <v>1063</v>
      </c>
      <c r="C703" s="144">
        <v>233754</v>
      </c>
      <c r="D703" s="124">
        <v>9</v>
      </c>
      <c r="E703" s="128">
        <v>1883</v>
      </c>
      <c r="F703" s="146">
        <v>2006</v>
      </c>
      <c r="G703" s="128">
        <v>6306</v>
      </c>
      <c r="H703" s="146">
        <v>6429</v>
      </c>
      <c r="I703" s="128"/>
      <c r="J703" s="146"/>
      <c r="K703" s="128"/>
      <c r="L703" s="146"/>
      <c r="M703" s="128"/>
      <c r="N703" s="146"/>
      <c r="O703" s="128"/>
      <c r="P703" s="146"/>
      <c r="Q703" s="128"/>
      <c r="R703" s="146"/>
      <c r="S703" s="128"/>
      <c r="T703" s="146"/>
      <c r="U703" s="128"/>
      <c r="V703" s="146"/>
      <c r="W703" s="128"/>
      <c r="X703" s="146"/>
      <c r="Y703" s="128"/>
      <c r="Z703" s="146"/>
      <c r="AA703" s="128"/>
      <c r="AB703" s="146"/>
      <c r="AC703" s="128"/>
      <c r="AD703" s="146"/>
      <c r="AE703" s="128"/>
      <c r="AF703" s="146"/>
      <c r="AG703" s="128"/>
      <c r="AH703" s="146"/>
      <c r="AI703" s="128"/>
      <c r="AJ703" s="146"/>
      <c r="AK703" s="128"/>
      <c r="AL703" s="146"/>
      <c r="AM703" s="128"/>
      <c r="AN703" s="146"/>
    </row>
    <row r="704" spans="1:40" s="121" customFormat="1" ht="15" customHeight="1">
      <c r="A704" s="122" t="s">
        <v>398</v>
      </c>
      <c r="B704" s="122" t="s">
        <v>542</v>
      </c>
      <c r="C704" s="144">
        <v>233949</v>
      </c>
      <c r="D704" s="124">
        <v>9</v>
      </c>
      <c r="E704" s="128">
        <v>1883</v>
      </c>
      <c r="F704" s="146">
        <v>2006</v>
      </c>
      <c r="G704" s="128">
        <v>6306</v>
      </c>
      <c r="H704" s="146">
        <v>6429</v>
      </c>
      <c r="I704" s="128"/>
      <c r="J704" s="146"/>
      <c r="K704" s="128"/>
      <c r="L704" s="146"/>
      <c r="M704" s="128"/>
      <c r="N704" s="146"/>
      <c r="O704" s="128"/>
      <c r="P704" s="146"/>
      <c r="Q704" s="128"/>
      <c r="R704" s="146"/>
      <c r="S704" s="128"/>
      <c r="T704" s="146"/>
      <c r="U704" s="128"/>
      <c r="V704" s="146"/>
      <c r="W704" s="128"/>
      <c r="X704" s="146"/>
      <c r="Y704" s="128"/>
      <c r="Z704" s="146"/>
      <c r="AA704" s="128"/>
      <c r="AB704" s="146"/>
      <c r="AC704" s="128"/>
      <c r="AD704" s="146"/>
      <c r="AE704" s="128"/>
      <c r="AF704" s="146"/>
      <c r="AG704" s="128"/>
      <c r="AH704" s="146"/>
      <c r="AI704" s="128"/>
      <c r="AJ704" s="146"/>
      <c r="AK704" s="128"/>
      <c r="AL704" s="146"/>
      <c r="AM704" s="128"/>
      <c r="AN704" s="146"/>
    </row>
    <row r="705" spans="1:40" s="121" customFormat="1" ht="15" customHeight="1">
      <c r="A705" s="122" t="s">
        <v>398</v>
      </c>
      <c r="B705" s="122" t="s">
        <v>544</v>
      </c>
      <c r="C705" s="144">
        <v>231873</v>
      </c>
      <c r="D705" s="124">
        <v>10</v>
      </c>
      <c r="E705" s="128">
        <v>1883</v>
      </c>
      <c r="F705" s="146">
        <v>2006</v>
      </c>
      <c r="G705" s="128">
        <v>6306</v>
      </c>
      <c r="H705" s="146">
        <v>6429</v>
      </c>
      <c r="I705" s="128"/>
      <c r="J705" s="146"/>
      <c r="K705" s="128"/>
      <c r="L705" s="146"/>
      <c r="M705" s="128"/>
      <c r="N705" s="146"/>
      <c r="O705" s="128"/>
      <c r="P705" s="146"/>
      <c r="Q705" s="128"/>
      <c r="R705" s="146"/>
      <c r="S705" s="128"/>
      <c r="T705" s="146"/>
      <c r="U705" s="128"/>
      <c r="V705" s="146"/>
      <c r="W705" s="128"/>
      <c r="X705" s="146"/>
      <c r="Y705" s="128"/>
      <c r="Z705" s="146"/>
      <c r="AA705" s="128"/>
      <c r="AB705" s="146"/>
      <c r="AC705" s="128"/>
      <c r="AD705" s="146"/>
      <c r="AE705" s="128"/>
      <c r="AF705" s="146"/>
      <c r="AG705" s="128"/>
      <c r="AH705" s="146"/>
      <c r="AI705" s="128"/>
      <c r="AJ705" s="146"/>
      <c r="AK705" s="128"/>
      <c r="AL705" s="146"/>
      <c r="AM705" s="128"/>
      <c r="AN705" s="146"/>
    </row>
    <row r="706" spans="1:40" s="121" customFormat="1" ht="15" customHeight="1">
      <c r="A706" s="122" t="s">
        <v>398</v>
      </c>
      <c r="B706" s="122" t="s">
        <v>545</v>
      </c>
      <c r="C706" s="144">
        <v>232052</v>
      </c>
      <c r="D706" s="124">
        <v>10</v>
      </c>
      <c r="E706" s="128">
        <v>1883</v>
      </c>
      <c r="F706" s="146">
        <v>2006</v>
      </c>
      <c r="G706" s="128">
        <v>6306</v>
      </c>
      <c r="H706" s="146">
        <v>6429</v>
      </c>
      <c r="I706" s="128"/>
      <c r="J706" s="146"/>
      <c r="K706" s="128"/>
      <c r="L706" s="146"/>
      <c r="M706" s="128"/>
      <c r="N706" s="146"/>
      <c r="O706" s="128"/>
      <c r="P706" s="146"/>
      <c r="Q706" s="128"/>
      <c r="R706" s="146"/>
      <c r="S706" s="128"/>
      <c r="T706" s="146"/>
      <c r="U706" s="128"/>
      <c r="V706" s="146"/>
      <c r="W706" s="128"/>
      <c r="X706" s="146"/>
      <c r="Y706" s="128"/>
      <c r="Z706" s="146"/>
      <c r="AA706" s="128"/>
      <c r="AB706" s="146"/>
      <c r="AC706" s="128"/>
      <c r="AD706" s="146"/>
      <c r="AE706" s="128"/>
      <c r="AF706" s="146"/>
      <c r="AG706" s="128"/>
      <c r="AH706" s="146"/>
      <c r="AI706" s="128"/>
      <c r="AJ706" s="146"/>
      <c r="AK706" s="128"/>
      <c r="AL706" s="146"/>
      <c r="AM706" s="128"/>
      <c r="AN706" s="146"/>
    </row>
    <row r="707" spans="1:40" s="121" customFormat="1" ht="15" customHeight="1">
      <c r="A707" s="122" t="s">
        <v>398</v>
      </c>
      <c r="B707" s="122" t="s">
        <v>546</v>
      </c>
      <c r="C707" s="144">
        <v>233019</v>
      </c>
      <c r="D707" s="124">
        <v>10</v>
      </c>
      <c r="E707" s="128">
        <v>1883</v>
      </c>
      <c r="F707" s="146">
        <v>2006</v>
      </c>
      <c r="G707" s="128">
        <v>6306</v>
      </c>
      <c r="H707" s="146">
        <v>6429</v>
      </c>
      <c r="I707" s="128"/>
      <c r="J707" s="146"/>
      <c r="K707" s="128"/>
      <c r="L707" s="146"/>
      <c r="M707" s="128"/>
      <c r="N707" s="146"/>
      <c r="O707" s="128"/>
      <c r="P707" s="146"/>
      <c r="Q707" s="128"/>
      <c r="R707" s="146"/>
      <c r="S707" s="128"/>
      <c r="T707" s="146"/>
      <c r="U707" s="128"/>
      <c r="V707" s="146"/>
      <c r="W707" s="128"/>
      <c r="X707" s="146"/>
      <c r="Y707" s="128"/>
      <c r="Z707" s="146"/>
      <c r="AA707" s="128"/>
      <c r="AB707" s="146"/>
      <c r="AC707" s="128"/>
      <c r="AD707" s="146"/>
      <c r="AE707" s="128"/>
      <c r="AF707" s="146"/>
      <c r="AG707" s="128"/>
      <c r="AH707" s="146"/>
      <c r="AI707" s="128"/>
      <c r="AJ707" s="146"/>
      <c r="AK707" s="128"/>
      <c r="AL707" s="146"/>
      <c r="AM707" s="128"/>
      <c r="AN707" s="146"/>
    </row>
    <row r="708" spans="1:40" s="121" customFormat="1" ht="15" customHeight="1">
      <c r="A708" s="122" t="s">
        <v>398</v>
      </c>
      <c r="B708" s="122" t="s">
        <v>547</v>
      </c>
      <c r="C708" s="144">
        <v>233037</v>
      </c>
      <c r="D708" s="124">
        <v>10</v>
      </c>
      <c r="E708" s="128">
        <v>1883</v>
      </c>
      <c r="F708" s="146">
        <v>2006</v>
      </c>
      <c r="G708" s="128">
        <v>6306</v>
      </c>
      <c r="H708" s="146">
        <v>6429</v>
      </c>
      <c r="I708" s="128"/>
      <c r="J708" s="146"/>
      <c r="K708" s="128"/>
      <c r="L708" s="146"/>
      <c r="M708" s="128"/>
      <c r="N708" s="146"/>
      <c r="O708" s="128"/>
      <c r="P708" s="146"/>
      <c r="Q708" s="128"/>
      <c r="R708" s="146"/>
      <c r="S708" s="128"/>
      <c r="T708" s="146"/>
      <c r="U708" s="128"/>
      <c r="V708" s="146"/>
      <c r="W708" s="128"/>
      <c r="X708" s="146"/>
      <c r="Y708" s="128"/>
      <c r="Z708" s="146"/>
      <c r="AA708" s="128"/>
      <c r="AB708" s="146"/>
      <c r="AC708" s="128"/>
      <c r="AD708" s="146"/>
      <c r="AE708" s="128"/>
      <c r="AF708" s="146"/>
      <c r="AG708" s="128"/>
      <c r="AH708" s="146"/>
      <c r="AI708" s="128"/>
      <c r="AJ708" s="146"/>
      <c r="AK708" s="128"/>
      <c r="AL708" s="146"/>
      <c r="AM708" s="128"/>
      <c r="AN708" s="146"/>
    </row>
    <row r="709" spans="1:40" s="121" customFormat="1" ht="15" customHeight="1">
      <c r="A709" s="122" t="s">
        <v>398</v>
      </c>
      <c r="B709" s="122" t="s">
        <v>548</v>
      </c>
      <c r="C709" s="144">
        <v>233310</v>
      </c>
      <c r="D709" s="124">
        <v>10</v>
      </c>
      <c r="E709" s="128">
        <v>1883</v>
      </c>
      <c r="F709" s="146">
        <v>2006</v>
      </c>
      <c r="G709" s="128">
        <v>6306</v>
      </c>
      <c r="H709" s="146">
        <v>6429</v>
      </c>
      <c r="I709" s="128"/>
      <c r="J709" s="146"/>
      <c r="K709" s="128"/>
      <c r="L709" s="146"/>
      <c r="M709" s="128"/>
      <c r="N709" s="146"/>
      <c r="O709" s="128"/>
      <c r="P709" s="146"/>
      <c r="Q709" s="128"/>
      <c r="R709" s="146"/>
      <c r="S709" s="128"/>
      <c r="T709" s="146"/>
      <c r="U709" s="128"/>
      <c r="V709" s="146"/>
      <c r="W709" s="128"/>
      <c r="X709" s="146"/>
      <c r="Y709" s="128"/>
      <c r="Z709" s="146"/>
      <c r="AA709" s="128"/>
      <c r="AB709" s="146"/>
      <c r="AC709" s="128"/>
      <c r="AD709" s="146"/>
      <c r="AE709" s="128"/>
      <c r="AF709" s="146"/>
      <c r="AG709" s="128"/>
      <c r="AH709" s="146"/>
      <c r="AI709" s="128"/>
      <c r="AJ709" s="146"/>
      <c r="AK709" s="128"/>
      <c r="AL709" s="146"/>
      <c r="AM709" s="128"/>
      <c r="AN709" s="146"/>
    </row>
    <row r="710" spans="1:40" s="121" customFormat="1" ht="15" customHeight="1">
      <c r="A710" s="122" t="s">
        <v>398</v>
      </c>
      <c r="B710" s="122" t="s">
        <v>549</v>
      </c>
      <c r="C710" s="144">
        <v>233338</v>
      </c>
      <c r="D710" s="124">
        <v>10</v>
      </c>
      <c r="E710" s="128">
        <v>2080</v>
      </c>
      <c r="F710" s="146">
        <v>2200</v>
      </c>
      <c r="G710" s="128">
        <v>8472</v>
      </c>
      <c r="H710" s="146">
        <v>8988</v>
      </c>
      <c r="I710" s="128"/>
      <c r="J710" s="146"/>
      <c r="K710" s="128"/>
      <c r="L710" s="146"/>
      <c r="M710" s="128"/>
      <c r="N710" s="146"/>
      <c r="O710" s="128"/>
      <c r="P710" s="146"/>
      <c r="Q710" s="128"/>
      <c r="R710" s="146"/>
      <c r="S710" s="128"/>
      <c r="T710" s="146"/>
      <c r="U710" s="128"/>
      <c r="V710" s="146"/>
      <c r="W710" s="128"/>
      <c r="X710" s="146"/>
      <c r="Y710" s="128"/>
      <c r="Z710" s="146"/>
      <c r="AA710" s="128"/>
      <c r="AB710" s="146"/>
      <c r="AC710" s="128"/>
      <c r="AD710" s="146"/>
      <c r="AE710" s="128"/>
      <c r="AF710" s="146"/>
      <c r="AG710" s="128"/>
      <c r="AH710" s="146"/>
      <c r="AI710" s="128"/>
      <c r="AJ710" s="146"/>
      <c r="AK710" s="128"/>
      <c r="AL710" s="146"/>
      <c r="AM710" s="128"/>
      <c r="AN710" s="146"/>
    </row>
    <row r="711" spans="1:40" s="121" customFormat="1" ht="15" customHeight="1">
      <c r="A711" s="122" t="s">
        <v>398</v>
      </c>
      <c r="B711" s="122" t="s">
        <v>550</v>
      </c>
      <c r="C711" s="144">
        <v>233903</v>
      </c>
      <c r="D711" s="124">
        <v>10</v>
      </c>
      <c r="E711" s="128">
        <v>1883</v>
      </c>
      <c r="F711" s="146">
        <v>2006</v>
      </c>
      <c r="G711" s="128">
        <v>6306</v>
      </c>
      <c r="H711" s="146">
        <v>6429</v>
      </c>
      <c r="I711" s="128"/>
      <c r="J711" s="146"/>
      <c r="K711" s="128"/>
      <c r="L711" s="146"/>
      <c r="M711" s="128"/>
      <c r="N711" s="146"/>
      <c r="O711" s="128"/>
      <c r="P711" s="146"/>
      <c r="Q711" s="128"/>
      <c r="R711" s="146"/>
      <c r="S711" s="128"/>
      <c r="T711" s="146"/>
      <c r="U711" s="128"/>
      <c r="V711" s="146"/>
      <c r="W711" s="128"/>
      <c r="X711" s="146"/>
      <c r="Y711" s="128"/>
      <c r="Z711" s="146"/>
      <c r="AA711" s="128"/>
      <c r="AB711" s="146"/>
      <c r="AC711" s="128"/>
      <c r="AD711" s="146"/>
      <c r="AE711" s="128"/>
      <c r="AF711" s="146"/>
      <c r="AG711" s="128"/>
      <c r="AH711" s="146"/>
      <c r="AI711" s="128"/>
      <c r="AJ711" s="146"/>
      <c r="AK711" s="128"/>
      <c r="AL711" s="146"/>
      <c r="AM711" s="128"/>
      <c r="AN711" s="146"/>
    </row>
    <row r="712" spans="1:40" s="121" customFormat="1" ht="15" customHeight="1">
      <c r="A712" s="122" t="s">
        <v>398</v>
      </c>
      <c r="B712" s="122" t="s">
        <v>551</v>
      </c>
      <c r="C712" s="144">
        <v>234377</v>
      </c>
      <c r="D712" s="124">
        <v>10</v>
      </c>
      <c r="E712" s="128">
        <v>1883</v>
      </c>
      <c r="F712" s="146">
        <v>2006</v>
      </c>
      <c r="G712" s="128">
        <v>6306</v>
      </c>
      <c r="H712" s="146">
        <v>6429</v>
      </c>
      <c r="I712" s="128"/>
      <c r="J712" s="146"/>
      <c r="K712" s="128"/>
      <c r="L712" s="146"/>
      <c r="M712" s="128"/>
      <c r="N712" s="146"/>
      <c r="O712" s="128"/>
      <c r="P712" s="146"/>
      <c r="Q712" s="128"/>
      <c r="R712" s="146"/>
      <c r="S712" s="128"/>
      <c r="T712" s="146"/>
      <c r="U712" s="128"/>
      <c r="V712" s="146"/>
      <c r="W712" s="128"/>
      <c r="X712" s="146"/>
      <c r="Y712" s="128"/>
      <c r="Z712" s="146"/>
      <c r="AA712" s="128"/>
      <c r="AB712" s="146"/>
      <c r="AC712" s="128"/>
      <c r="AD712" s="146"/>
      <c r="AE712" s="128"/>
      <c r="AF712" s="146"/>
      <c r="AG712" s="128"/>
      <c r="AH712" s="146"/>
      <c r="AI712" s="128"/>
      <c r="AJ712" s="146"/>
      <c r="AK712" s="128"/>
      <c r="AL712" s="146"/>
      <c r="AM712" s="128"/>
      <c r="AN712" s="146"/>
    </row>
    <row r="713" spans="1:40" s="121" customFormat="1" ht="15" customHeight="1">
      <c r="A713" s="122" t="s">
        <v>398</v>
      </c>
      <c r="B713" s="122" t="s">
        <v>552</v>
      </c>
      <c r="C713" s="144">
        <v>234085</v>
      </c>
      <c r="D713" s="124">
        <v>15</v>
      </c>
      <c r="E713" s="128">
        <v>7584</v>
      </c>
      <c r="F713" s="146">
        <v>8054</v>
      </c>
      <c r="G713" s="128">
        <v>20296</v>
      </c>
      <c r="H713" s="146">
        <v>21516</v>
      </c>
      <c r="I713" s="128"/>
      <c r="J713" s="146"/>
      <c r="K713" s="128"/>
      <c r="L713" s="146"/>
      <c r="M713" s="128"/>
      <c r="N713" s="146"/>
      <c r="O713" s="128"/>
      <c r="P713" s="146"/>
      <c r="Q713" s="128"/>
      <c r="R713" s="146"/>
      <c r="S713" s="128"/>
      <c r="T713" s="146"/>
      <c r="U713" s="128"/>
      <c r="V713" s="146"/>
      <c r="W713" s="128"/>
      <c r="X713" s="146"/>
      <c r="Y713" s="128"/>
      <c r="Z713" s="146"/>
      <c r="AA713" s="128"/>
      <c r="AB713" s="146"/>
      <c r="AC713" s="128"/>
      <c r="AD713" s="146"/>
      <c r="AE713" s="128"/>
      <c r="AF713" s="146"/>
      <c r="AG713" s="128"/>
      <c r="AH713" s="146"/>
      <c r="AI713" s="128"/>
      <c r="AJ713" s="146"/>
      <c r="AK713" s="128"/>
      <c r="AL713" s="146"/>
      <c r="AM713" s="128"/>
      <c r="AN713" s="146"/>
    </row>
    <row r="714" spans="1:40" s="121" customFormat="1" ht="15" customHeight="1">
      <c r="A714" s="132" t="s">
        <v>397</v>
      </c>
      <c r="B714" s="133" t="s">
        <v>553</v>
      </c>
      <c r="C714" s="286">
        <v>238032</v>
      </c>
      <c r="D714" s="134">
        <v>1</v>
      </c>
      <c r="E714" s="128">
        <f>1774*2</f>
        <v>3548</v>
      </c>
      <c r="F714" s="146">
        <v>3938</v>
      </c>
      <c r="G714" s="128">
        <f>5384*2</f>
        <v>10768</v>
      </c>
      <c r="H714" s="146">
        <v>12060</v>
      </c>
      <c r="I714" s="128">
        <f>1952*2</f>
        <v>3904</v>
      </c>
      <c r="J714" s="146">
        <v>4274</v>
      </c>
      <c r="K714" s="128">
        <f>5554*2</f>
        <v>11108</v>
      </c>
      <c r="L714" s="146">
        <v>12442</v>
      </c>
      <c r="M714" s="128">
        <f>3702*2</f>
        <v>7404</v>
      </c>
      <c r="N714" s="146">
        <v>8106</v>
      </c>
      <c r="O714" s="128">
        <f>8663*2</f>
        <v>17326</v>
      </c>
      <c r="P714" s="146">
        <v>19342</v>
      </c>
      <c r="Q714" s="128">
        <f>6720*2</f>
        <v>13440</v>
      </c>
      <c r="R714" s="146">
        <v>15456</v>
      </c>
      <c r="S714" s="128">
        <f>15590*2</f>
        <v>31180</v>
      </c>
      <c r="T714" s="146">
        <v>35858</v>
      </c>
      <c r="U714" s="128">
        <f>4466*2</f>
        <v>8932</v>
      </c>
      <c r="V714" s="146">
        <v>10094</v>
      </c>
      <c r="W714" s="128">
        <f>10269*2</f>
        <v>20538</v>
      </c>
      <c r="X714" s="146">
        <v>24030</v>
      </c>
      <c r="Y714" s="128">
        <f>3668*2</f>
        <v>7336</v>
      </c>
      <c r="Z714" s="146">
        <v>8032</v>
      </c>
      <c r="AA714" s="128">
        <f>9922*2</f>
        <v>19844</v>
      </c>
      <c r="AB714" s="146">
        <v>20940</v>
      </c>
      <c r="AC714" s="128"/>
      <c r="AD714" s="146"/>
      <c r="AE714" s="128"/>
      <c r="AF714" s="146"/>
      <c r="AG714" s="128"/>
      <c r="AH714" s="146"/>
      <c r="AI714" s="128"/>
      <c r="AJ714" s="146"/>
      <c r="AK714" s="128"/>
      <c r="AL714" s="146"/>
      <c r="AM714" s="128"/>
      <c r="AN714" s="146"/>
    </row>
    <row r="715" spans="1:40" s="121" customFormat="1" ht="15" customHeight="1">
      <c r="A715" s="132" t="s">
        <v>397</v>
      </c>
      <c r="B715" s="133" t="s">
        <v>554</v>
      </c>
      <c r="C715" s="286">
        <v>237525</v>
      </c>
      <c r="D715" s="134">
        <v>3</v>
      </c>
      <c r="E715" s="128">
        <f>1630*2</f>
        <v>3260</v>
      </c>
      <c r="F715" s="146">
        <v>3818</v>
      </c>
      <c r="G715" s="128">
        <f>4472*2</f>
        <v>8944</v>
      </c>
      <c r="H715" s="146">
        <v>10128</v>
      </c>
      <c r="I715" s="128">
        <f>1730*2</f>
        <v>3460</v>
      </c>
      <c r="J715" s="146">
        <v>4040</v>
      </c>
      <c r="K715" s="128">
        <f>5003*2</f>
        <v>10006</v>
      </c>
      <c r="L715" s="146">
        <v>11306</v>
      </c>
      <c r="M715" s="128"/>
      <c r="N715" s="146"/>
      <c r="O715" s="128"/>
      <c r="P715" s="146"/>
      <c r="Q715" s="128">
        <f>6352*2</f>
        <v>12704</v>
      </c>
      <c r="R715" s="146">
        <v>14588</v>
      </c>
      <c r="S715" s="128">
        <f>16267*2</f>
        <v>32534</v>
      </c>
      <c r="T715" s="146">
        <v>37178</v>
      </c>
      <c r="U715" s="128"/>
      <c r="V715" s="146"/>
      <c r="W715" s="128"/>
      <c r="X715" s="146"/>
      <c r="Y715" s="128"/>
      <c r="Z715" s="146"/>
      <c r="AA715" s="128"/>
      <c r="AB715" s="146"/>
      <c r="AC715" s="128"/>
      <c r="AD715" s="146"/>
      <c r="AE715" s="128"/>
      <c r="AF715" s="146"/>
      <c r="AG715" s="128"/>
      <c r="AH715" s="146"/>
      <c r="AI715" s="128"/>
      <c r="AJ715" s="146"/>
      <c r="AK715" s="128"/>
      <c r="AL715" s="146"/>
      <c r="AM715" s="128"/>
      <c r="AN715" s="146"/>
    </row>
    <row r="716" spans="1:40" s="121" customFormat="1" ht="15" customHeight="1">
      <c r="A716" s="132" t="s">
        <v>397</v>
      </c>
      <c r="B716" s="133" t="s">
        <v>555</v>
      </c>
      <c r="C716" s="286">
        <v>237215</v>
      </c>
      <c r="D716" s="134">
        <v>6</v>
      </c>
      <c r="E716" s="128">
        <f>1403*2</f>
        <v>2806</v>
      </c>
      <c r="F716" s="146">
        <v>3114</v>
      </c>
      <c r="G716" s="128">
        <f>3447*2</f>
        <v>6894</v>
      </c>
      <c r="H716" s="146">
        <v>6894</v>
      </c>
      <c r="I716" s="128"/>
      <c r="J716" s="146"/>
      <c r="K716" s="128"/>
      <c r="L716" s="146"/>
      <c r="M716" s="128"/>
      <c r="N716" s="146"/>
      <c r="O716" s="128"/>
      <c r="P716" s="146"/>
      <c r="Q716" s="128"/>
      <c r="R716" s="146"/>
      <c r="S716" s="128"/>
      <c r="T716" s="146"/>
      <c r="U716" s="128"/>
      <c r="V716" s="146"/>
      <c r="W716" s="128"/>
      <c r="X716" s="146"/>
      <c r="Y716" s="128"/>
      <c r="Z716" s="146"/>
      <c r="AA716" s="128"/>
      <c r="AB716" s="146"/>
      <c r="AC716" s="128"/>
      <c r="AD716" s="146"/>
      <c r="AE716" s="128"/>
      <c r="AF716" s="146"/>
      <c r="AG716" s="128"/>
      <c r="AH716" s="146"/>
      <c r="AI716" s="128"/>
      <c r="AJ716" s="146"/>
      <c r="AK716" s="128"/>
      <c r="AL716" s="146"/>
      <c r="AM716" s="128"/>
      <c r="AN716" s="146"/>
    </row>
    <row r="717" spans="1:40" s="121" customFormat="1" ht="15" customHeight="1">
      <c r="A717" s="132" t="s">
        <v>397</v>
      </c>
      <c r="B717" s="133" t="s">
        <v>364</v>
      </c>
      <c r="C717" s="286">
        <v>237330</v>
      </c>
      <c r="D717" s="134">
        <v>6</v>
      </c>
      <c r="E717" s="128">
        <f>1599*2</f>
        <v>3198</v>
      </c>
      <c r="F717" s="146">
        <v>3588</v>
      </c>
      <c r="G717" s="128">
        <f>3639*2</f>
        <v>7278</v>
      </c>
      <c r="H717" s="146">
        <v>8008</v>
      </c>
      <c r="I717" s="128">
        <f>1778*2</f>
        <v>3556</v>
      </c>
      <c r="J717" s="146">
        <v>3892</v>
      </c>
      <c r="K717" s="128">
        <f>3118*2</f>
        <v>6236</v>
      </c>
      <c r="L717" s="146">
        <v>6828</v>
      </c>
      <c r="M717" s="128"/>
      <c r="N717" s="146"/>
      <c r="O717" s="128"/>
      <c r="P717" s="146"/>
      <c r="Q717" s="128"/>
      <c r="R717" s="146"/>
      <c r="S717" s="128"/>
      <c r="T717" s="146"/>
      <c r="U717" s="128"/>
      <c r="V717" s="146"/>
      <c r="W717" s="128"/>
      <c r="X717" s="146"/>
      <c r="Y717" s="128"/>
      <c r="Z717" s="146"/>
      <c r="AA717" s="128"/>
      <c r="AB717" s="146"/>
      <c r="AC717" s="128"/>
      <c r="AD717" s="146"/>
      <c r="AE717" s="128"/>
      <c r="AF717" s="146"/>
      <c r="AG717" s="128"/>
      <c r="AH717" s="146"/>
      <c r="AI717" s="128"/>
      <c r="AJ717" s="146"/>
      <c r="AK717" s="128"/>
      <c r="AL717" s="146"/>
      <c r="AM717" s="128"/>
      <c r="AN717" s="146"/>
    </row>
    <row r="718" spans="1:40" s="121" customFormat="1" ht="15" customHeight="1">
      <c r="A718" s="132" t="s">
        <v>397</v>
      </c>
      <c r="B718" s="133" t="s">
        <v>365</v>
      </c>
      <c r="C718" s="286">
        <v>237367</v>
      </c>
      <c r="D718" s="134">
        <v>6</v>
      </c>
      <c r="E718" s="128">
        <f>1565*2</f>
        <v>3130</v>
      </c>
      <c r="F718" s="146">
        <v>3692</v>
      </c>
      <c r="G718" s="128">
        <f>3519*2</f>
        <v>7038</v>
      </c>
      <c r="H718" s="146">
        <v>7926</v>
      </c>
      <c r="I718" s="128">
        <f>1849*2</f>
        <v>3698</v>
      </c>
      <c r="J718" s="146">
        <v>3772</v>
      </c>
      <c r="K718" s="128">
        <f>4780*2</f>
        <v>9560</v>
      </c>
      <c r="L718" s="146">
        <v>9634</v>
      </c>
      <c r="M718" s="128"/>
      <c r="N718" s="146"/>
      <c r="O718" s="128"/>
      <c r="P718" s="146"/>
      <c r="Q718" s="128"/>
      <c r="R718" s="146"/>
      <c r="S718" s="128"/>
      <c r="T718" s="146"/>
      <c r="U718" s="128"/>
      <c r="V718" s="146"/>
      <c r="W718" s="128"/>
      <c r="X718" s="146"/>
      <c r="Y718" s="128"/>
      <c r="Z718" s="146"/>
      <c r="AA718" s="128"/>
      <c r="AB718" s="146"/>
      <c r="AC718" s="128"/>
      <c r="AD718" s="146"/>
      <c r="AE718" s="128"/>
      <c r="AF718" s="146"/>
      <c r="AG718" s="128"/>
      <c r="AH718" s="146"/>
      <c r="AI718" s="128"/>
      <c r="AJ718" s="146"/>
      <c r="AK718" s="128"/>
      <c r="AL718" s="146"/>
      <c r="AM718" s="128"/>
      <c r="AN718" s="146"/>
    </row>
    <row r="719" spans="1:40" s="121" customFormat="1" ht="15" customHeight="1">
      <c r="A719" s="132" t="s">
        <v>397</v>
      </c>
      <c r="B719" s="133" t="s">
        <v>556</v>
      </c>
      <c r="C719" s="286">
        <v>237385</v>
      </c>
      <c r="D719" s="134">
        <v>6</v>
      </c>
      <c r="E719" s="128">
        <f>1476*2</f>
        <v>2952</v>
      </c>
      <c r="F719" s="146">
        <v>3276</v>
      </c>
      <c r="G719" s="128">
        <f>3653*2</f>
        <v>7306</v>
      </c>
      <c r="H719" s="146">
        <v>7854</v>
      </c>
      <c r="I719" s="128"/>
      <c r="J719" s="146"/>
      <c r="K719" s="128"/>
      <c r="L719" s="146"/>
      <c r="M719" s="128"/>
      <c r="N719" s="146"/>
      <c r="O719" s="128"/>
      <c r="P719" s="146"/>
      <c r="Q719" s="128"/>
      <c r="R719" s="146"/>
      <c r="S719" s="128"/>
      <c r="T719" s="146"/>
      <c r="U719" s="128"/>
      <c r="V719" s="146"/>
      <c r="W719" s="128"/>
      <c r="X719" s="146"/>
      <c r="Y719" s="128"/>
      <c r="Z719" s="146"/>
      <c r="AA719" s="128"/>
      <c r="AB719" s="146"/>
      <c r="AC719" s="128"/>
      <c r="AD719" s="146"/>
      <c r="AE719" s="128"/>
      <c r="AF719" s="146"/>
      <c r="AG719" s="128"/>
      <c r="AH719" s="146"/>
      <c r="AI719" s="128"/>
      <c r="AJ719" s="146"/>
      <c r="AK719" s="128"/>
      <c r="AL719" s="146"/>
      <c r="AM719" s="128"/>
      <c r="AN719" s="146"/>
    </row>
    <row r="720" spans="1:40" s="121" customFormat="1" ht="15" customHeight="1">
      <c r="A720" s="132" t="s">
        <v>397</v>
      </c>
      <c r="B720" s="133" t="s">
        <v>366</v>
      </c>
      <c r="C720" s="286">
        <v>237792</v>
      </c>
      <c r="D720" s="134">
        <v>6</v>
      </c>
      <c r="E720" s="128">
        <f>1635*2</f>
        <v>3270</v>
      </c>
      <c r="F720" s="146">
        <v>3654</v>
      </c>
      <c r="G720" s="128">
        <f>4015*2</f>
        <v>8030</v>
      </c>
      <c r="H720" s="146">
        <v>9234</v>
      </c>
      <c r="I720" s="128">
        <f>2340*2</f>
        <v>4680</v>
      </c>
      <c r="J720" s="146">
        <v>4680</v>
      </c>
      <c r="K720" s="128">
        <f>3540*2</f>
        <v>7080</v>
      </c>
      <c r="L720" s="146">
        <v>7080</v>
      </c>
      <c r="M720" s="128"/>
      <c r="N720" s="146"/>
      <c r="O720" s="128"/>
      <c r="P720" s="146"/>
      <c r="Q720" s="128"/>
      <c r="R720" s="146"/>
      <c r="S720" s="128"/>
      <c r="T720" s="146"/>
      <c r="U720" s="128"/>
      <c r="V720" s="146"/>
      <c r="W720" s="128"/>
      <c r="X720" s="146"/>
      <c r="Y720" s="128"/>
      <c r="Z720" s="146"/>
      <c r="AA720" s="128"/>
      <c r="AB720" s="146"/>
      <c r="AC720" s="128"/>
      <c r="AD720" s="146"/>
      <c r="AE720" s="128"/>
      <c r="AF720" s="146"/>
      <c r="AG720" s="128"/>
      <c r="AH720" s="146"/>
      <c r="AI720" s="128"/>
      <c r="AJ720" s="146"/>
      <c r="AK720" s="128"/>
      <c r="AL720" s="146"/>
      <c r="AM720" s="128"/>
      <c r="AN720" s="146"/>
    </row>
    <row r="721" spans="1:40" s="121" customFormat="1" ht="15" customHeight="1">
      <c r="A721" s="132" t="s">
        <v>397</v>
      </c>
      <c r="B721" s="133" t="s">
        <v>557</v>
      </c>
      <c r="C721" s="286">
        <v>237932</v>
      </c>
      <c r="D721" s="134">
        <v>6</v>
      </c>
      <c r="E721" s="128">
        <f>1569*2</f>
        <v>3138</v>
      </c>
      <c r="F721" s="146">
        <v>3380</v>
      </c>
      <c r="G721" s="128">
        <f>3895*2</f>
        <v>7790</v>
      </c>
      <c r="H721" s="146">
        <v>8354</v>
      </c>
      <c r="I721" s="128">
        <f>2052*2</f>
        <v>4104</v>
      </c>
      <c r="J721" s="146">
        <v>4274</v>
      </c>
      <c r="K721" s="128">
        <f>5654*2</f>
        <v>11308</v>
      </c>
      <c r="L721" s="146">
        <v>12442</v>
      </c>
      <c r="M721" s="128"/>
      <c r="N721" s="146"/>
      <c r="O721" s="128"/>
      <c r="P721" s="146"/>
      <c r="Q721" s="128"/>
      <c r="R721" s="146"/>
      <c r="S721" s="128"/>
      <c r="T721" s="146"/>
      <c r="U721" s="128"/>
      <c r="V721" s="146"/>
      <c r="W721" s="128"/>
      <c r="X721" s="146"/>
      <c r="Y721" s="128"/>
      <c r="Z721" s="146"/>
      <c r="AA721" s="128"/>
      <c r="AB721" s="146"/>
      <c r="AC721" s="128"/>
      <c r="AD721" s="146"/>
      <c r="AE721" s="128"/>
      <c r="AF721" s="146"/>
      <c r="AG721" s="128"/>
      <c r="AH721" s="146"/>
      <c r="AI721" s="128"/>
      <c r="AJ721" s="146"/>
      <c r="AK721" s="128"/>
      <c r="AL721" s="146"/>
      <c r="AM721" s="128"/>
      <c r="AN721" s="146"/>
    </row>
    <row r="722" spans="1:40" s="121" customFormat="1" ht="15" customHeight="1">
      <c r="A722" s="132" t="s">
        <v>397</v>
      </c>
      <c r="B722" s="133" t="s">
        <v>367</v>
      </c>
      <c r="C722" s="286">
        <v>237899</v>
      </c>
      <c r="D722" s="134">
        <v>6</v>
      </c>
      <c r="E722" s="128">
        <f>1485*2</f>
        <v>2970</v>
      </c>
      <c r="F722" s="146">
        <v>3222</v>
      </c>
      <c r="G722" s="128">
        <f>3410*2</f>
        <v>6820</v>
      </c>
      <c r="H722" s="146">
        <v>7400</v>
      </c>
      <c r="I722" s="128">
        <f>1784*2</f>
        <v>3568</v>
      </c>
      <c r="J722" s="146">
        <v>3568</v>
      </c>
      <c r="K722" s="128">
        <v>7246</v>
      </c>
      <c r="L722" s="146">
        <v>7246</v>
      </c>
      <c r="M722" s="128"/>
      <c r="N722" s="146"/>
      <c r="O722" s="128"/>
      <c r="P722" s="146"/>
      <c r="Q722" s="128"/>
      <c r="R722" s="146"/>
      <c r="S722" s="128"/>
      <c r="T722" s="146"/>
      <c r="U722" s="128"/>
      <c r="V722" s="146"/>
      <c r="W722" s="128"/>
      <c r="X722" s="146"/>
      <c r="Y722" s="128"/>
      <c r="Z722" s="146"/>
      <c r="AA722" s="128"/>
      <c r="AB722" s="146"/>
      <c r="AC722" s="128"/>
      <c r="AD722" s="146"/>
      <c r="AE722" s="128"/>
      <c r="AF722" s="146"/>
      <c r="AG722" s="128"/>
      <c r="AH722" s="146"/>
      <c r="AI722" s="128"/>
      <c r="AJ722" s="146"/>
      <c r="AK722" s="128"/>
      <c r="AL722" s="146"/>
      <c r="AM722" s="128"/>
      <c r="AN722" s="146"/>
    </row>
    <row r="723" spans="1:40" s="121" customFormat="1" ht="15" customHeight="1">
      <c r="A723" s="132" t="s">
        <v>397</v>
      </c>
      <c r="B723" s="133" t="s">
        <v>558</v>
      </c>
      <c r="C723" s="286">
        <v>237950</v>
      </c>
      <c r="D723" s="134">
        <v>6</v>
      </c>
      <c r="E723" s="128">
        <v>3380</v>
      </c>
      <c r="F723" s="146">
        <v>3786</v>
      </c>
      <c r="G723" s="128">
        <v>8438</v>
      </c>
      <c r="H723" s="146">
        <v>9486</v>
      </c>
      <c r="I723" s="128">
        <f>1846*2</f>
        <v>3692</v>
      </c>
      <c r="J723" s="146">
        <v>4128</v>
      </c>
      <c r="K723" s="128">
        <f>4617*2</f>
        <v>9234</v>
      </c>
      <c r="L723" s="146">
        <v>10428</v>
      </c>
      <c r="M723" s="128"/>
      <c r="N723" s="146"/>
      <c r="O723" s="128"/>
      <c r="P723" s="146"/>
      <c r="Q723" s="128"/>
      <c r="R723" s="146"/>
      <c r="S723" s="128"/>
      <c r="T723" s="146"/>
      <c r="U723" s="128"/>
      <c r="V723" s="146"/>
      <c r="W723" s="128"/>
      <c r="X723" s="146"/>
      <c r="Y723" s="128"/>
      <c r="Z723" s="146"/>
      <c r="AA723" s="128"/>
      <c r="AB723" s="146"/>
      <c r="AC723" s="128"/>
      <c r="AD723" s="146"/>
      <c r="AE723" s="128"/>
      <c r="AF723" s="146"/>
      <c r="AG723" s="128"/>
      <c r="AH723" s="146"/>
      <c r="AI723" s="128"/>
      <c r="AJ723" s="146"/>
      <c r="AK723" s="128"/>
      <c r="AL723" s="146"/>
      <c r="AM723" s="128"/>
      <c r="AN723" s="146"/>
    </row>
    <row r="724" spans="1:40" s="121" customFormat="1" ht="15" customHeight="1">
      <c r="A724" s="132" t="s">
        <v>397</v>
      </c>
      <c r="B724" s="133" t="s">
        <v>559</v>
      </c>
      <c r="C724" s="286">
        <v>237686</v>
      </c>
      <c r="D724" s="134">
        <v>7</v>
      </c>
      <c r="E724" s="128">
        <f>810*2</f>
        <v>1620</v>
      </c>
      <c r="F724" s="146">
        <v>1668</v>
      </c>
      <c r="G724" s="128">
        <f>2802*2</f>
        <v>5604</v>
      </c>
      <c r="H724" s="146">
        <v>5772</v>
      </c>
      <c r="I724" s="128"/>
      <c r="J724" s="146"/>
      <c r="K724" s="128"/>
      <c r="L724" s="146"/>
      <c r="M724" s="128"/>
      <c r="N724" s="146"/>
      <c r="O724" s="128"/>
      <c r="P724" s="146"/>
      <c r="Q724" s="128"/>
      <c r="R724" s="146"/>
      <c r="S724" s="128"/>
      <c r="T724" s="146"/>
      <c r="U724" s="128"/>
      <c r="V724" s="146"/>
      <c r="W724" s="128"/>
      <c r="X724" s="146"/>
      <c r="Y724" s="128"/>
      <c r="Z724" s="146"/>
      <c r="AA724" s="128"/>
      <c r="AB724" s="146"/>
      <c r="AC724" s="128"/>
      <c r="AD724" s="146"/>
      <c r="AE724" s="128"/>
      <c r="AF724" s="146"/>
      <c r="AG724" s="128"/>
      <c r="AH724" s="146"/>
      <c r="AI724" s="128"/>
      <c r="AJ724" s="146"/>
      <c r="AK724" s="128"/>
      <c r="AL724" s="146"/>
      <c r="AM724" s="128"/>
      <c r="AN724" s="146"/>
    </row>
    <row r="725" spans="1:40" s="121" customFormat="1" ht="15" customHeight="1">
      <c r="A725" s="132" t="s">
        <v>397</v>
      </c>
      <c r="B725" s="267" t="s">
        <v>446</v>
      </c>
      <c r="C725" s="134">
        <v>443492</v>
      </c>
      <c r="D725" s="134">
        <v>9</v>
      </c>
      <c r="E725" s="128">
        <f>1356*2</f>
        <v>2712</v>
      </c>
      <c r="F725" s="146">
        <v>3052</v>
      </c>
      <c r="G725" s="128">
        <f>3280*2</f>
        <v>6560</v>
      </c>
      <c r="H725" s="146">
        <v>7072</v>
      </c>
      <c r="I725" s="128"/>
      <c r="J725" s="146"/>
      <c r="K725" s="128"/>
      <c r="L725" s="146"/>
      <c r="M725" s="128"/>
      <c r="N725" s="146"/>
      <c r="O725" s="128"/>
      <c r="P725" s="146"/>
      <c r="Q725" s="128"/>
      <c r="R725" s="146"/>
      <c r="S725" s="128"/>
      <c r="T725" s="146"/>
      <c r="U725" s="128"/>
      <c r="V725" s="146"/>
      <c r="W725" s="128"/>
      <c r="X725" s="146"/>
      <c r="Y725" s="128"/>
      <c r="Z725" s="146"/>
      <c r="AA725" s="128"/>
      <c r="AB725" s="146"/>
      <c r="AC725" s="128"/>
      <c r="AD725" s="146"/>
      <c r="AE725" s="128"/>
      <c r="AF725" s="146"/>
      <c r="AG725" s="128"/>
      <c r="AH725" s="146"/>
      <c r="AI725" s="128"/>
      <c r="AJ725" s="146"/>
      <c r="AK725" s="128"/>
      <c r="AL725" s="146"/>
      <c r="AM725" s="128"/>
      <c r="AN725" s="146"/>
    </row>
    <row r="726" spans="1:40" s="121" customFormat="1" ht="15" customHeight="1">
      <c r="A726" s="132" t="s">
        <v>397</v>
      </c>
      <c r="B726" s="267" t="s">
        <v>92</v>
      </c>
      <c r="C726" s="134">
        <v>445674</v>
      </c>
      <c r="D726" s="134">
        <v>10</v>
      </c>
      <c r="E726" s="128">
        <f>1467*2</f>
        <v>2934</v>
      </c>
      <c r="F726" s="146">
        <v>3118</v>
      </c>
      <c r="G726" s="128">
        <f>4196*2</f>
        <v>8392</v>
      </c>
      <c r="H726" s="146">
        <v>9488</v>
      </c>
      <c r="I726" s="128"/>
      <c r="J726" s="146"/>
      <c r="K726" s="128"/>
      <c r="L726" s="146"/>
      <c r="M726" s="128"/>
      <c r="N726" s="146"/>
      <c r="O726" s="128"/>
      <c r="P726" s="146"/>
      <c r="Q726" s="128"/>
      <c r="R726" s="146"/>
      <c r="S726" s="128"/>
      <c r="T726" s="146"/>
      <c r="U726" s="128"/>
      <c r="V726" s="146"/>
      <c r="W726" s="128"/>
      <c r="X726" s="146"/>
      <c r="Y726" s="128"/>
      <c r="Z726" s="146"/>
      <c r="AA726" s="128"/>
      <c r="AB726" s="146"/>
      <c r="AC726" s="128"/>
      <c r="AD726" s="146"/>
      <c r="AE726" s="128"/>
      <c r="AF726" s="146"/>
      <c r="AG726" s="128"/>
      <c r="AH726" s="146"/>
      <c r="AI726" s="128"/>
      <c r="AJ726" s="146"/>
      <c r="AK726" s="128"/>
      <c r="AL726" s="146"/>
      <c r="AM726" s="128"/>
      <c r="AN726" s="146"/>
    </row>
    <row r="727" spans="1:40" s="121" customFormat="1" ht="15" customHeight="1">
      <c r="A727" s="267" t="s">
        <v>397</v>
      </c>
      <c r="B727" s="268" t="s">
        <v>655</v>
      </c>
      <c r="C727" s="134"/>
      <c r="D727" s="134">
        <v>10</v>
      </c>
      <c r="E727" s="128"/>
      <c r="F727" s="146">
        <v>2994</v>
      </c>
      <c r="G727" s="128"/>
      <c r="H727" s="146">
        <v>8518</v>
      </c>
      <c r="I727" s="128"/>
      <c r="J727" s="146"/>
      <c r="K727" s="128"/>
      <c r="L727" s="146"/>
      <c r="M727" s="128"/>
      <c r="N727" s="146"/>
      <c r="O727" s="128"/>
      <c r="P727" s="146"/>
      <c r="Q727" s="128"/>
      <c r="R727" s="146"/>
      <c r="S727" s="128"/>
      <c r="T727" s="146"/>
      <c r="U727" s="128"/>
      <c r="V727" s="146"/>
      <c r="W727" s="128"/>
      <c r="X727" s="146"/>
      <c r="Y727" s="128"/>
      <c r="Z727" s="146"/>
      <c r="AA727" s="128"/>
      <c r="AB727" s="146"/>
      <c r="AC727" s="128"/>
      <c r="AD727" s="146"/>
      <c r="AE727" s="128"/>
      <c r="AF727" s="146"/>
      <c r="AG727" s="128"/>
      <c r="AH727" s="146"/>
      <c r="AI727" s="128"/>
      <c r="AJ727" s="146"/>
      <c r="AK727" s="128"/>
      <c r="AL727" s="146"/>
      <c r="AM727" s="128"/>
      <c r="AN727" s="146"/>
    </row>
    <row r="728" spans="1:40" s="121" customFormat="1" ht="15" customHeight="1">
      <c r="A728" s="267" t="s">
        <v>397</v>
      </c>
      <c r="B728" s="267" t="s">
        <v>656</v>
      </c>
      <c r="C728" s="134">
        <v>438708</v>
      </c>
      <c r="D728" s="134">
        <v>10</v>
      </c>
      <c r="E728" s="128">
        <f>780*2</f>
        <v>1560</v>
      </c>
      <c r="F728" s="146">
        <v>1634</v>
      </c>
      <c r="G728" s="128">
        <f>3096*2</f>
        <v>6192</v>
      </c>
      <c r="H728" s="146">
        <v>6488</v>
      </c>
      <c r="I728" s="128"/>
      <c r="J728" s="146"/>
      <c r="K728" s="128"/>
      <c r="L728" s="146"/>
      <c r="M728" s="128"/>
      <c r="N728" s="146"/>
      <c r="O728" s="128"/>
      <c r="P728" s="146"/>
      <c r="Q728" s="128"/>
      <c r="R728" s="146"/>
      <c r="S728" s="128"/>
      <c r="T728" s="146"/>
      <c r="U728" s="128"/>
      <c r="V728" s="146"/>
      <c r="W728" s="128"/>
      <c r="X728" s="146"/>
      <c r="Y728" s="128"/>
      <c r="Z728" s="146"/>
      <c r="AA728" s="128"/>
      <c r="AB728" s="146"/>
      <c r="AC728" s="128"/>
      <c r="AD728" s="146"/>
      <c r="AE728" s="128"/>
      <c r="AF728" s="146"/>
      <c r="AG728" s="128"/>
      <c r="AH728" s="146"/>
      <c r="AI728" s="128"/>
      <c r="AJ728" s="146"/>
      <c r="AK728" s="128"/>
      <c r="AL728" s="146"/>
      <c r="AM728" s="128"/>
      <c r="AN728" s="146"/>
    </row>
    <row r="729" spans="1:40" s="121" customFormat="1" ht="15" customHeight="1">
      <c r="A729" s="132" t="s">
        <v>397</v>
      </c>
      <c r="B729" s="267" t="s">
        <v>368</v>
      </c>
      <c r="C729" s="134">
        <v>444954</v>
      </c>
      <c r="D729" s="134">
        <v>10</v>
      </c>
      <c r="E729" s="128">
        <f>1356*2</f>
        <v>2712</v>
      </c>
      <c r="F729" s="146">
        <v>2814</v>
      </c>
      <c r="G729" s="128">
        <f>3952*2</f>
        <v>7904</v>
      </c>
      <c r="H729" s="146">
        <v>8142</v>
      </c>
      <c r="I729" s="128"/>
      <c r="J729" s="146"/>
      <c r="K729" s="128"/>
      <c r="L729" s="146"/>
      <c r="M729" s="128"/>
      <c r="N729" s="146"/>
      <c r="O729" s="128"/>
      <c r="P729" s="146"/>
      <c r="Q729" s="128"/>
      <c r="R729" s="146"/>
      <c r="S729" s="128"/>
      <c r="T729" s="146"/>
      <c r="U729" s="128"/>
      <c r="V729" s="146"/>
      <c r="W729" s="128"/>
      <c r="X729" s="146"/>
      <c r="Y729" s="128"/>
      <c r="Z729" s="146"/>
      <c r="AA729" s="128"/>
      <c r="AB729" s="146"/>
      <c r="AC729" s="128"/>
      <c r="AD729" s="146"/>
      <c r="AE729" s="128"/>
      <c r="AF729" s="146"/>
      <c r="AG729" s="128"/>
      <c r="AH729" s="146"/>
      <c r="AI729" s="128"/>
      <c r="AJ729" s="146"/>
      <c r="AK729" s="128"/>
      <c r="AL729" s="146"/>
      <c r="AM729" s="128"/>
      <c r="AN729" s="146"/>
    </row>
    <row r="730" spans="1:40" s="121" customFormat="1" ht="15" customHeight="1">
      <c r="A730" s="267" t="s">
        <v>397</v>
      </c>
      <c r="B730" s="268" t="s">
        <v>657</v>
      </c>
      <c r="C730" s="134"/>
      <c r="D730" s="134">
        <v>10</v>
      </c>
      <c r="E730" s="128">
        <v>2506</v>
      </c>
      <c r="F730" s="146">
        <v>2624</v>
      </c>
      <c r="G730" s="128"/>
      <c r="H730" s="146">
        <v>6894</v>
      </c>
      <c r="I730" s="128"/>
      <c r="J730" s="146"/>
      <c r="K730" s="128"/>
      <c r="L730" s="146"/>
      <c r="M730" s="128"/>
      <c r="N730" s="146"/>
      <c r="O730" s="128"/>
      <c r="P730" s="146"/>
      <c r="Q730" s="128"/>
      <c r="R730" s="146"/>
      <c r="S730" s="128"/>
      <c r="T730" s="146"/>
      <c r="U730" s="128"/>
      <c r="V730" s="146"/>
      <c r="W730" s="128"/>
      <c r="X730" s="146"/>
      <c r="Y730" s="128"/>
      <c r="Z730" s="146"/>
      <c r="AA730" s="128"/>
      <c r="AB730" s="146"/>
      <c r="AC730" s="128"/>
      <c r="AD730" s="146"/>
      <c r="AE730" s="128"/>
      <c r="AF730" s="146"/>
      <c r="AG730" s="128"/>
      <c r="AH730" s="146"/>
      <c r="AI730" s="128"/>
      <c r="AJ730" s="146"/>
      <c r="AK730" s="128"/>
      <c r="AL730" s="146"/>
      <c r="AM730" s="128"/>
      <c r="AN730" s="146"/>
    </row>
    <row r="731" spans="1:40" s="121" customFormat="1" ht="15" customHeight="1">
      <c r="A731" s="132" t="s">
        <v>397</v>
      </c>
      <c r="B731" s="267" t="s">
        <v>560</v>
      </c>
      <c r="C731" s="286">
        <v>237701</v>
      </c>
      <c r="D731" s="134">
        <v>10</v>
      </c>
      <c r="E731" s="128">
        <v>2192</v>
      </c>
      <c r="F731" s="146">
        <v>2238</v>
      </c>
      <c r="G731" s="128">
        <f>3786*2</f>
        <v>7572</v>
      </c>
      <c r="H731" s="146">
        <v>7572</v>
      </c>
      <c r="I731" s="128"/>
      <c r="J731" s="146"/>
      <c r="K731" s="128"/>
      <c r="L731" s="146"/>
      <c r="M731" s="128"/>
      <c r="N731" s="146"/>
      <c r="O731" s="128"/>
      <c r="P731" s="146"/>
      <c r="Q731" s="128"/>
      <c r="R731" s="146"/>
      <c r="S731" s="128"/>
      <c r="T731" s="146"/>
      <c r="U731" s="128"/>
      <c r="V731" s="146"/>
      <c r="W731" s="128"/>
      <c r="X731" s="146"/>
      <c r="Y731" s="128"/>
      <c r="Z731" s="146"/>
      <c r="AA731" s="128"/>
      <c r="AB731" s="146"/>
      <c r="AC731" s="128"/>
      <c r="AD731" s="146"/>
      <c r="AE731" s="128"/>
      <c r="AF731" s="146"/>
      <c r="AG731" s="128"/>
      <c r="AH731" s="146"/>
      <c r="AI731" s="128"/>
      <c r="AJ731" s="146"/>
      <c r="AK731" s="128"/>
      <c r="AL731" s="146"/>
      <c r="AM731" s="128"/>
      <c r="AN731" s="146"/>
    </row>
    <row r="732" spans="1:40" s="121" customFormat="1" ht="15" customHeight="1">
      <c r="A732" s="132" t="s">
        <v>397</v>
      </c>
      <c r="B732" s="267" t="s">
        <v>658</v>
      </c>
      <c r="C732" s="286">
        <v>237817</v>
      </c>
      <c r="D732" s="134">
        <v>10</v>
      </c>
      <c r="E732" s="128">
        <f>780*2</f>
        <v>1560</v>
      </c>
      <c r="F732" s="146">
        <v>1634</v>
      </c>
      <c r="G732" s="128">
        <f>3096*2</f>
        <v>6192</v>
      </c>
      <c r="H732" s="146">
        <v>6488</v>
      </c>
      <c r="I732" s="128"/>
      <c r="J732" s="146"/>
      <c r="K732" s="128"/>
      <c r="L732" s="146"/>
      <c r="M732" s="128"/>
      <c r="N732" s="146"/>
      <c r="O732" s="128"/>
      <c r="P732" s="146"/>
      <c r="Q732" s="128"/>
      <c r="R732" s="146"/>
      <c r="S732" s="128"/>
      <c r="T732" s="146"/>
      <c r="U732" s="128"/>
      <c r="V732" s="146"/>
      <c r="W732" s="128"/>
      <c r="X732" s="146"/>
      <c r="Y732" s="128"/>
      <c r="Z732" s="146"/>
      <c r="AA732" s="128"/>
      <c r="AB732" s="146"/>
      <c r="AC732" s="128"/>
      <c r="AD732" s="146"/>
      <c r="AE732" s="128"/>
      <c r="AF732" s="146"/>
      <c r="AG732" s="128"/>
      <c r="AH732" s="146"/>
      <c r="AI732" s="128"/>
      <c r="AJ732" s="146"/>
      <c r="AK732" s="128"/>
      <c r="AL732" s="146"/>
      <c r="AM732" s="128"/>
      <c r="AN732" s="146"/>
    </row>
    <row r="733" spans="1:40" s="121" customFormat="1" ht="15" customHeight="1">
      <c r="A733" s="132" t="s">
        <v>397</v>
      </c>
      <c r="B733" s="267" t="s">
        <v>561</v>
      </c>
      <c r="C733" s="286">
        <v>238014</v>
      </c>
      <c r="D733" s="134">
        <v>10</v>
      </c>
      <c r="E733" s="128">
        <f>876*2</f>
        <v>1752</v>
      </c>
      <c r="F733" s="146">
        <v>1752</v>
      </c>
      <c r="G733" s="128">
        <f>2796*2</f>
        <v>5592</v>
      </c>
      <c r="H733" s="146">
        <v>5592</v>
      </c>
      <c r="I733" s="128"/>
      <c r="J733" s="146"/>
      <c r="K733" s="128"/>
      <c r="L733" s="146"/>
      <c r="M733" s="128"/>
      <c r="N733" s="146"/>
      <c r="O733" s="128"/>
      <c r="P733" s="146"/>
      <c r="Q733" s="128"/>
      <c r="R733" s="146"/>
      <c r="S733" s="128"/>
      <c r="T733" s="146"/>
      <c r="U733" s="128"/>
      <c r="V733" s="146"/>
      <c r="W733" s="128"/>
      <c r="X733" s="146"/>
      <c r="Y733" s="128"/>
      <c r="Z733" s="146"/>
      <c r="AA733" s="128"/>
      <c r="AB733" s="146"/>
      <c r="AC733" s="128"/>
      <c r="AD733" s="146"/>
      <c r="AE733" s="128"/>
      <c r="AF733" s="146"/>
      <c r="AG733" s="128"/>
      <c r="AH733" s="146"/>
      <c r="AI733" s="128"/>
      <c r="AJ733" s="146"/>
      <c r="AK733" s="128"/>
      <c r="AL733" s="146"/>
      <c r="AM733" s="128"/>
      <c r="AN733" s="146"/>
    </row>
    <row r="734" spans="1:40" s="121" customFormat="1" ht="15" customHeight="1">
      <c r="A734" s="267" t="s">
        <v>397</v>
      </c>
      <c r="B734" s="268" t="s">
        <v>659</v>
      </c>
      <c r="C734" s="134">
        <v>445018</v>
      </c>
      <c r="D734" s="134">
        <v>10</v>
      </c>
      <c r="E734" s="128">
        <v>2590</v>
      </c>
      <c r="F734" s="146">
        <v>2642</v>
      </c>
      <c r="G734" s="128"/>
      <c r="H734" s="146">
        <v>6776</v>
      </c>
      <c r="I734" s="128"/>
      <c r="J734" s="146"/>
      <c r="K734" s="128"/>
      <c r="L734" s="146"/>
      <c r="M734" s="128"/>
      <c r="N734" s="146"/>
      <c r="O734" s="128"/>
      <c r="P734" s="146"/>
      <c r="Q734" s="128"/>
      <c r="R734" s="146"/>
      <c r="S734" s="128"/>
      <c r="T734" s="146"/>
      <c r="U734" s="128"/>
      <c r="V734" s="146"/>
      <c r="W734" s="128"/>
      <c r="X734" s="146"/>
      <c r="Y734" s="128"/>
      <c r="Z734" s="146"/>
      <c r="AA734" s="128"/>
      <c r="AB734" s="146"/>
      <c r="AC734" s="128"/>
      <c r="AD734" s="146"/>
      <c r="AE734" s="128"/>
      <c r="AF734" s="146"/>
      <c r="AG734" s="128"/>
      <c r="AH734" s="146"/>
      <c r="AI734" s="128"/>
      <c r="AJ734" s="146"/>
      <c r="AK734" s="128"/>
      <c r="AL734" s="146"/>
      <c r="AM734" s="128"/>
      <c r="AN734" s="146"/>
    </row>
    <row r="735" spans="1:40" s="121" customFormat="1" ht="15" customHeight="1">
      <c r="A735" s="132" t="s">
        <v>397</v>
      </c>
      <c r="B735" s="267" t="s">
        <v>562</v>
      </c>
      <c r="C735" s="134">
        <v>237880</v>
      </c>
      <c r="D735" s="134">
        <v>15</v>
      </c>
      <c r="E735" s="128"/>
      <c r="F735" s="146"/>
      <c r="G735" s="128"/>
      <c r="H735" s="146"/>
      <c r="I735" s="128"/>
      <c r="J735" s="146"/>
      <c r="K735" s="128"/>
      <c r="L735" s="146"/>
      <c r="M735" s="128"/>
      <c r="N735" s="146"/>
      <c r="O735" s="128"/>
      <c r="P735" s="146"/>
      <c r="Q735" s="128"/>
      <c r="R735" s="146"/>
      <c r="S735" s="128"/>
      <c r="T735" s="146"/>
      <c r="U735" s="128"/>
      <c r="V735" s="146"/>
      <c r="W735" s="128"/>
      <c r="X735" s="146"/>
      <c r="Y735" s="128"/>
      <c r="Z735" s="146"/>
      <c r="AA735" s="128"/>
      <c r="AB735" s="146"/>
      <c r="AC735" s="128"/>
      <c r="AD735" s="146"/>
      <c r="AE735" s="128"/>
      <c r="AF735" s="146"/>
      <c r="AG735" s="128">
        <f>7636*2</f>
        <v>15272</v>
      </c>
      <c r="AH735" s="146">
        <v>16418</v>
      </c>
      <c r="AI735" s="128">
        <f>18897*2</f>
        <v>37794</v>
      </c>
      <c r="AJ735" s="146">
        <v>40630</v>
      </c>
      <c r="AK735" s="128"/>
      <c r="AL735" s="146"/>
      <c r="AM735" s="128"/>
      <c r="AN735" s="146"/>
    </row>
    <row r="736" spans="1:40" s="121" customFormat="1" ht="15" customHeight="1">
      <c r="A736" s="132" t="s">
        <v>397</v>
      </c>
      <c r="B736" s="267" t="s">
        <v>623</v>
      </c>
      <c r="C736" s="134">
        <v>237172</v>
      </c>
      <c r="D736" s="134">
        <v>13</v>
      </c>
      <c r="E736" s="128"/>
      <c r="F736" s="146"/>
      <c r="G736" s="128"/>
      <c r="H736" s="146"/>
      <c r="I736" s="128"/>
      <c r="J736" s="146"/>
      <c r="K736" s="128"/>
      <c r="L736" s="146"/>
      <c r="M736" s="128"/>
      <c r="N736" s="146"/>
      <c r="O736" s="128"/>
      <c r="P736" s="146"/>
      <c r="Q736" s="128"/>
      <c r="R736" s="146"/>
      <c r="S736" s="128"/>
      <c r="T736" s="146"/>
      <c r="U736" s="128"/>
      <c r="V736" s="146"/>
      <c r="W736" s="128"/>
      <c r="X736" s="146"/>
      <c r="Y736" s="128"/>
      <c r="Z736" s="146"/>
      <c r="AA736" s="128"/>
      <c r="AB736" s="146"/>
      <c r="AC736" s="128"/>
      <c r="AD736" s="146"/>
      <c r="AE736" s="128"/>
      <c r="AF736" s="146"/>
      <c r="AG736" s="128"/>
      <c r="AH736" s="146"/>
      <c r="AI736" s="128"/>
      <c r="AJ736" s="146"/>
      <c r="AK736" s="128"/>
      <c r="AL736" s="146"/>
      <c r="AM736" s="128"/>
      <c r="AN736" s="146"/>
    </row>
    <row r="737" spans="1:40" s="121" customFormat="1" ht="15" customHeight="1">
      <c r="A737" s="132" t="s">
        <v>397</v>
      </c>
      <c r="B737" s="267" t="s">
        <v>624</v>
      </c>
      <c r="C737" s="134">
        <v>237224</v>
      </c>
      <c r="D737" s="134">
        <v>13</v>
      </c>
      <c r="E737" s="128"/>
      <c r="F737" s="146"/>
      <c r="G737" s="128"/>
      <c r="H737" s="146"/>
      <c r="I737" s="128"/>
      <c r="J737" s="146"/>
      <c r="K737" s="128"/>
      <c r="L737" s="146"/>
      <c r="M737" s="128"/>
      <c r="N737" s="146"/>
      <c r="O737" s="128"/>
      <c r="P737" s="146"/>
      <c r="Q737" s="128"/>
      <c r="R737" s="146"/>
      <c r="S737" s="128"/>
      <c r="T737" s="146"/>
      <c r="U737" s="128"/>
      <c r="V737" s="146"/>
      <c r="W737" s="128"/>
      <c r="X737" s="146"/>
      <c r="Y737" s="128"/>
      <c r="Z737" s="146"/>
      <c r="AA737" s="128"/>
      <c r="AB737" s="146"/>
      <c r="AC737" s="128"/>
      <c r="AD737" s="146"/>
      <c r="AE737" s="128"/>
      <c r="AF737" s="146"/>
      <c r="AG737" s="128"/>
      <c r="AH737" s="146"/>
      <c r="AI737" s="128"/>
      <c r="AJ737" s="146"/>
      <c r="AK737" s="128"/>
      <c r="AL737" s="146"/>
      <c r="AM737" s="128"/>
      <c r="AN737" s="146"/>
    </row>
    <row r="738" spans="1:40" s="121" customFormat="1" ht="15" customHeight="1">
      <c r="A738" s="132" t="s">
        <v>397</v>
      </c>
      <c r="B738" s="267" t="s">
        <v>625</v>
      </c>
      <c r="C738" s="134">
        <v>237242</v>
      </c>
      <c r="D738" s="134">
        <v>13</v>
      </c>
      <c r="E738" s="128"/>
      <c r="F738" s="146"/>
      <c r="G738" s="128"/>
      <c r="H738" s="146"/>
      <c r="I738" s="128"/>
      <c r="J738" s="146"/>
      <c r="K738" s="128"/>
      <c r="L738" s="146"/>
      <c r="M738" s="128"/>
      <c r="N738" s="146"/>
      <c r="O738" s="128"/>
      <c r="P738" s="146"/>
      <c r="Q738" s="128"/>
      <c r="R738" s="146"/>
      <c r="S738" s="128"/>
      <c r="T738" s="146"/>
      <c r="U738" s="128"/>
      <c r="V738" s="146"/>
      <c r="W738" s="128"/>
      <c r="X738" s="146"/>
      <c r="Y738" s="128"/>
      <c r="Z738" s="146"/>
      <c r="AA738" s="128"/>
      <c r="AB738" s="146"/>
      <c r="AC738" s="128"/>
      <c r="AD738" s="146"/>
      <c r="AE738" s="128"/>
      <c r="AF738" s="146"/>
      <c r="AG738" s="128"/>
      <c r="AH738" s="146"/>
      <c r="AI738" s="128"/>
      <c r="AJ738" s="146"/>
      <c r="AK738" s="128"/>
      <c r="AL738" s="146"/>
      <c r="AM738" s="128"/>
      <c r="AN738" s="146"/>
    </row>
    <row r="739" spans="1:40" s="121" customFormat="1" ht="15" customHeight="1">
      <c r="A739" s="132" t="s">
        <v>397</v>
      </c>
      <c r="B739" s="267" t="s">
        <v>626</v>
      </c>
      <c r="C739" s="134">
        <v>430795</v>
      </c>
      <c r="D739" s="134">
        <v>13</v>
      </c>
      <c r="E739" s="128"/>
      <c r="F739" s="146"/>
      <c r="G739" s="128"/>
      <c r="H739" s="146"/>
      <c r="I739" s="128"/>
      <c r="J739" s="146"/>
      <c r="K739" s="128"/>
      <c r="L739" s="146"/>
      <c r="M739" s="128"/>
      <c r="N739" s="146"/>
      <c r="O739" s="128"/>
      <c r="P739" s="146"/>
      <c r="Q739" s="128"/>
      <c r="R739" s="146"/>
      <c r="S739" s="128"/>
      <c r="T739" s="146"/>
      <c r="U739" s="128"/>
      <c r="V739" s="146"/>
      <c r="W739" s="128"/>
      <c r="X739" s="146"/>
      <c r="Y739" s="128"/>
      <c r="Z739" s="146"/>
      <c r="AA739" s="128"/>
      <c r="AB739" s="146"/>
      <c r="AC739" s="128"/>
      <c r="AD739" s="146"/>
      <c r="AE739" s="128"/>
      <c r="AF739" s="146"/>
      <c r="AG739" s="128"/>
      <c r="AH739" s="146"/>
      <c r="AI739" s="128"/>
      <c r="AJ739" s="146"/>
      <c r="AK739" s="128"/>
      <c r="AL739" s="146"/>
      <c r="AM739" s="128"/>
      <c r="AN739" s="146"/>
    </row>
    <row r="740" spans="1:40" s="121" customFormat="1" ht="15" customHeight="1">
      <c r="A740" s="132" t="s">
        <v>397</v>
      </c>
      <c r="B740" s="267" t="s">
        <v>627</v>
      </c>
      <c r="C740" s="134">
        <v>237844</v>
      </c>
      <c r="D740" s="134">
        <v>13</v>
      </c>
      <c r="E740" s="128"/>
      <c r="F740" s="146"/>
      <c r="G740" s="128"/>
      <c r="H740" s="146"/>
      <c r="I740" s="128"/>
      <c r="J740" s="146"/>
      <c r="K740" s="128"/>
      <c r="L740" s="146"/>
      <c r="M740" s="128"/>
      <c r="N740" s="146"/>
      <c r="O740" s="128"/>
      <c r="P740" s="146"/>
      <c r="Q740" s="128"/>
      <c r="R740" s="146"/>
      <c r="S740" s="128"/>
      <c r="T740" s="146"/>
      <c r="U740" s="128"/>
      <c r="V740" s="146"/>
      <c r="W740" s="128"/>
      <c r="X740" s="146"/>
      <c r="Y740" s="128"/>
      <c r="Z740" s="146"/>
      <c r="AA740" s="128"/>
      <c r="AB740" s="146"/>
      <c r="AC740" s="128"/>
      <c r="AD740" s="146"/>
      <c r="AE740" s="128"/>
      <c r="AF740" s="146"/>
      <c r="AG740" s="128"/>
      <c r="AH740" s="146"/>
      <c r="AI740" s="128"/>
      <c r="AJ740" s="146"/>
      <c r="AK740" s="128"/>
      <c r="AL740" s="146"/>
      <c r="AM740" s="128"/>
      <c r="AN740" s="146"/>
    </row>
    <row r="741" spans="1:40" s="121" customFormat="1" ht="15" customHeight="1">
      <c r="A741" s="132" t="s">
        <v>397</v>
      </c>
      <c r="B741" s="267" t="s">
        <v>628</v>
      </c>
      <c r="C741" s="134">
        <v>237473</v>
      </c>
      <c r="D741" s="134">
        <v>13</v>
      </c>
      <c r="E741" s="128"/>
      <c r="F741" s="146"/>
      <c r="G741" s="128"/>
      <c r="H741" s="146"/>
      <c r="I741" s="128"/>
      <c r="J741" s="146"/>
      <c r="K741" s="128"/>
      <c r="L741" s="146"/>
      <c r="M741" s="128"/>
      <c r="N741" s="146"/>
      <c r="O741" s="128"/>
      <c r="P741" s="146"/>
      <c r="Q741" s="128"/>
      <c r="R741" s="146"/>
      <c r="S741" s="128"/>
      <c r="T741" s="146"/>
      <c r="U741" s="128"/>
      <c r="V741" s="146"/>
      <c r="W741" s="128"/>
      <c r="X741" s="146"/>
      <c r="Y741" s="128"/>
      <c r="Z741" s="146"/>
      <c r="AA741" s="128"/>
      <c r="AB741" s="146"/>
      <c r="AC741" s="128"/>
      <c r="AD741" s="146"/>
      <c r="AE741" s="128"/>
      <c r="AF741" s="146"/>
      <c r="AG741" s="128"/>
      <c r="AH741" s="146"/>
      <c r="AI741" s="128"/>
      <c r="AJ741" s="146"/>
      <c r="AK741" s="128"/>
      <c r="AL741" s="146"/>
      <c r="AM741" s="128"/>
      <c r="AN741" s="146"/>
    </row>
    <row r="742" spans="1:40" s="121" customFormat="1" ht="15" customHeight="1">
      <c r="A742" s="132" t="s">
        <v>397</v>
      </c>
      <c r="B742" s="267" t="s">
        <v>629</v>
      </c>
      <c r="C742" s="134">
        <v>237516</v>
      </c>
      <c r="D742" s="134">
        <v>13</v>
      </c>
      <c r="E742" s="128"/>
      <c r="F742" s="146"/>
      <c r="G742" s="128"/>
      <c r="H742" s="146"/>
      <c r="I742" s="128"/>
      <c r="J742" s="146"/>
      <c r="K742" s="128"/>
      <c r="L742" s="146"/>
      <c r="M742" s="128"/>
      <c r="N742" s="146"/>
      <c r="O742" s="128"/>
      <c r="P742" s="146"/>
      <c r="Q742" s="128"/>
      <c r="R742" s="146"/>
      <c r="S742" s="128"/>
      <c r="T742" s="146"/>
      <c r="U742" s="128"/>
      <c r="V742" s="146"/>
      <c r="W742" s="128"/>
      <c r="X742" s="146"/>
      <c r="Y742" s="128"/>
      <c r="Z742" s="146"/>
      <c r="AA742" s="128"/>
      <c r="AB742" s="146"/>
      <c r="AC742" s="128"/>
      <c r="AD742" s="146"/>
      <c r="AE742" s="128"/>
      <c r="AF742" s="146"/>
      <c r="AG742" s="128"/>
      <c r="AH742" s="146"/>
      <c r="AI742" s="128"/>
      <c r="AJ742" s="146"/>
      <c r="AK742" s="128"/>
      <c r="AL742" s="146"/>
      <c r="AM742" s="128"/>
      <c r="AN742" s="146"/>
    </row>
    <row r="743" spans="1:40" s="121" customFormat="1" ht="15" customHeight="1">
      <c r="A743" s="132" t="s">
        <v>397</v>
      </c>
      <c r="B743" s="267" t="s">
        <v>630</v>
      </c>
      <c r="C743" s="134">
        <v>237534</v>
      </c>
      <c r="D743" s="134">
        <v>13</v>
      </c>
      <c r="E743" s="128"/>
      <c r="F743" s="146"/>
      <c r="G743" s="128"/>
      <c r="H743" s="146"/>
      <c r="I743" s="128"/>
      <c r="J743" s="146"/>
      <c r="K743" s="128"/>
      <c r="L743" s="146"/>
      <c r="M743" s="128"/>
      <c r="N743" s="146"/>
      <c r="O743" s="128"/>
      <c r="P743" s="146"/>
      <c r="Q743" s="128"/>
      <c r="R743" s="146"/>
      <c r="S743" s="128"/>
      <c r="T743" s="146"/>
      <c r="U743" s="128"/>
      <c r="V743" s="146"/>
      <c r="W743" s="128"/>
      <c r="X743" s="146"/>
      <c r="Y743" s="128"/>
      <c r="Z743" s="146"/>
      <c r="AA743" s="128"/>
      <c r="AB743" s="146"/>
      <c r="AC743" s="128"/>
      <c r="AD743" s="146"/>
      <c r="AE743" s="128"/>
      <c r="AF743" s="146"/>
      <c r="AG743" s="128"/>
      <c r="AH743" s="146"/>
      <c r="AI743" s="128"/>
      <c r="AJ743" s="146"/>
      <c r="AK743" s="128"/>
      <c r="AL743" s="146"/>
      <c r="AM743" s="128"/>
      <c r="AN743" s="146"/>
    </row>
    <row r="744" spans="1:40" s="121" customFormat="1" ht="15" customHeight="1">
      <c r="A744" s="132" t="s">
        <v>397</v>
      </c>
      <c r="B744" s="267" t="s">
        <v>631</v>
      </c>
      <c r="C744" s="134">
        <v>237543</v>
      </c>
      <c r="D744" s="134">
        <v>13</v>
      </c>
      <c r="E744" s="128"/>
      <c r="F744" s="146"/>
      <c r="G744" s="128"/>
      <c r="H744" s="146"/>
      <c r="I744" s="128"/>
      <c r="J744" s="146"/>
      <c r="K744" s="128"/>
      <c r="L744" s="146"/>
      <c r="M744" s="128"/>
      <c r="N744" s="146"/>
      <c r="O744" s="128"/>
      <c r="P744" s="146"/>
      <c r="Q744" s="128"/>
      <c r="R744" s="146"/>
      <c r="S744" s="128"/>
      <c r="T744" s="146"/>
      <c r="U744" s="128"/>
      <c r="V744" s="146"/>
      <c r="W744" s="128"/>
      <c r="X744" s="146"/>
      <c r="Y744" s="128"/>
      <c r="Z744" s="146"/>
      <c r="AA744" s="128"/>
      <c r="AB744" s="146"/>
      <c r="AC744" s="128"/>
      <c r="AD744" s="146"/>
      <c r="AE744" s="128"/>
      <c r="AF744" s="146"/>
      <c r="AG744" s="128"/>
      <c r="AH744" s="146"/>
      <c r="AI744" s="128"/>
      <c r="AJ744" s="146"/>
      <c r="AK744" s="128"/>
      <c r="AL744" s="146"/>
      <c r="AM744" s="128"/>
      <c r="AN744" s="146"/>
    </row>
    <row r="745" spans="1:40" s="121" customFormat="1" ht="15" customHeight="1">
      <c r="A745" s="132" t="s">
        <v>397</v>
      </c>
      <c r="B745" s="267" t="s">
        <v>632</v>
      </c>
      <c r="C745" s="134">
        <v>368647</v>
      </c>
      <c r="D745" s="134">
        <v>13</v>
      </c>
      <c r="E745" s="128"/>
      <c r="F745" s="146"/>
      <c r="G745" s="128"/>
      <c r="H745" s="146"/>
      <c r="I745" s="128"/>
      <c r="J745" s="146"/>
      <c r="K745" s="128"/>
      <c r="L745" s="146"/>
      <c r="M745" s="128"/>
      <c r="N745" s="146"/>
      <c r="O745" s="128"/>
      <c r="P745" s="146"/>
      <c r="Q745" s="128"/>
      <c r="R745" s="146"/>
      <c r="S745" s="128"/>
      <c r="T745" s="146"/>
      <c r="U745" s="128"/>
      <c r="V745" s="146"/>
      <c r="W745" s="128"/>
      <c r="X745" s="146"/>
      <c r="Y745" s="128"/>
      <c r="Z745" s="146"/>
      <c r="AA745" s="128"/>
      <c r="AB745" s="146"/>
      <c r="AC745" s="128"/>
      <c r="AD745" s="146"/>
      <c r="AE745" s="128"/>
      <c r="AF745" s="146"/>
      <c r="AG745" s="128"/>
      <c r="AH745" s="146"/>
      <c r="AI745" s="128"/>
      <c r="AJ745" s="146"/>
      <c r="AK745" s="128"/>
      <c r="AL745" s="146"/>
      <c r="AM745" s="128"/>
      <c r="AN745" s="146"/>
    </row>
    <row r="746" spans="1:40" s="121" customFormat="1" ht="15" customHeight="1">
      <c r="A746" s="132" t="s">
        <v>397</v>
      </c>
      <c r="B746" s="267" t="s">
        <v>633</v>
      </c>
      <c r="C746" s="134">
        <v>237561</v>
      </c>
      <c r="D746" s="134">
        <v>13</v>
      </c>
      <c r="E746" s="128"/>
      <c r="F746" s="146"/>
      <c r="G746" s="128"/>
      <c r="H746" s="146"/>
      <c r="I746" s="128"/>
      <c r="J746" s="146"/>
      <c r="K746" s="128"/>
      <c r="L746" s="146"/>
      <c r="M746" s="128"/>
      <c r="N746" s="146"/>
      <c r="O746" s="128"/>
      <c r="P746" s="146"/>
      <c r="Q746" s="128"/>
      <c r="R746" s="146"/>
      <c r="S746" s="128"/>
      <c r="T746" s="146"/>
      <c r="U746" s="128"/>
      <c r="V746" s="146"/>
      <c r="W746" s="128"/>
      <c r="X746" s="146"/>
      <c r="Y746" s="128"/>
      <c r="Z746" s="146"/>
      <c r="AA746" s="128"/>
      <c r="AB746" s="146"/>
      <c r="AC746" s="128"/>
      <c r="AD746" s="146"/>
      <c r="AE746" s="128"/>
      <c r="AF746" s="146"/>
      <c r="AG746" s="128"/>
      <c r="AH746" s="146"/>
      <c r="AI746" s="128"/>
      <c r="AJ746" s="146"/>
      <c r="AK746" s="128"/>
      <c r="AL746" s="146"/>
      <c r="AM746" s="128"/>
      <c r="AN746" s="146"/>
    </row>
    <row r="747" spans="1:40" s="121" customFormat="1" ht="15" customHeight="1">
      <c r="A747" s="132" t="s">
        <v>397</v>
      </c>
      <c r="B747" s="267" t="s">
        <v>634</v>
      </c>
      <c r="C747" s="134">
        <v>419420</v>
      </c>
      <c r="D747" s="134">
        <v>13</v>
      </c>
      <c r="E747" s="128"/>
      <c r="F747" s="146"/>
      <c r="G747" s="128"/>
      <c r="H747" s="146"/>
      <c r="I747" s="128"/>
      <c r="J747" s="146"/>
      <c r="K747" s="128"/>
      <c r="L747" s="146"/>
      <c r="M747" s="128"/>
      <c r="N747" s="146"/>
      <c r="O747" s="128"/>
      <c r="P747" s="146"/>
      <c r="Q747" s="128"/>
      <c r="R747" s="146"/>
      <c r="S747" s="128"/>
      <c r="T747" s="146"/>
      <c r="U747" s="128"/>
      <c r="V747" s="146"/>
      <c r="W747" s="128"/>
      <c r="X747" s="146"/>
      <c r="Y747" s="128"/>
      <c r="Z747" s="146"/>
      <c r="AA747" s="128"/>
      <c r="AB747" s="146"/>
      <c r="AC747" s="128"/>
      <c r="AD747" s="146"/>
      <c r="AE747" s="128"/>
      <c r="AF747" s="146"/>
      <c r="AG747" s="128"/>
      <c r="AH747" s="146"/>
      <c r="AI747" s="128"/>
      <c r="AJ747" s="146"/>
      <c r="AK747" s="128"/>
      <c r="AL747" s="146"/>
      <c r="AM747" s="128"/>
      <c r="AN747" s="146"/>
    </row>
    <row r="748" spans="1:40" s="121" customFormat="1" ht="15" customHeight="1">
      <c r="A748" s="132" t="s">
        <v>397</v>
      </c>
      <c r="B748" s="267" t="s">
        <v>635</v>
      </c>
      <c r="C748" s="134">
        <v>237729</v>
      </c>
      <c r="D748" s="134">
        <v>13</v>
      </c>
      <c r="E748" s="128"/>
      <c r="F748" s="146"/>
      <c r="G748" s="128"/>
      <c r="H748" s="146"/>
      <c r="I748" s="128"/>
      <c r="J748" s="146"/>
      <c r="K748" s="128"/>
      <c r="L748" s="146"/>
      <c r="M748" s="128"/>
      <c r="N748" s="146"/>
      <c r="O748" s="128"/>
      <c r="P748" s="146"/>
      <c r="Q748" s="128"/>
      <c r="R748" s="146"/>
      <c r="S748" s="128"/>
      <c r="T748" s="146"/>
      <c r="U748" s="128"/>
      <c r="V748" s="146"/>
      <c r="W748" s="128"/>
      <c r="X748" s="146"/>
      <c r="Y748" s="128"/>
      <c r="Z748" s="146"/>
      <c r="AA748" s="128"/>
      <c r="AB748" s="146"/>
      <c r="AC748" s="128"/>
      <c r="AD748" s="146"/>
      <c r="AE748" s="128"/>
      <c r="AF748" s="146"/>
      <c r="AG748" s="128"/>
      <c r="AH748" s="146"/>
      <c r="AI748" s="128"/>
      <c r="AJ748" s="146"/>
      <c r="AK748" s="128"/>
      <c r="AL748" s="146"/>
      <c r="AM748" s="128"/>
      <c r="AN748" s="146"/>
    </row>
    <row r="749" spans="1:40" s="121" customFormat="1" ht="15" customHeight="1">
      <c r="A749" s="132" t="s">
        <v>397</v>
      </c>
      <c r="B749" s="267" t="s">
        <v>636</v>
      </c>
      <c r="C749" s="134">
        <v>237491</v>
      </c>
      <c r="D749" s="134">
        <v>13</v>
      </c>
      <c r="E749" s="128"/>
      <c r="F749" s="146"/>
      <c r="G749" s="128"/>
      <c r="H749" s="146"/>
      <c r="I749" s="128"/>
      <c r="J749" s="146"/>
      <c r="K749" s="128"/>
      <c r="L749" s="146"/>
      <c r="M749" s="128"/>
      <c r="N749" s="146"/>
      <c r="O749" s="128"/>
      <c r="P749" s="146"/>
      <c r="Q749" s="128"/>
      <c r="R749" s="146"/>
      <c r="S749" s="128"/>
      <c r="T749" s="146"/>
      <c r="U749" s="128"/>
      <c r="V749" s="146"/>
      <c r="W749" s="128"/>
      <c r="X749" s="146"/>
      <c r="Y749" s="128"/>
      <c r="Z749" s="146"/>
      <c r="AA749" s="128"/>
      <c r="AB749" s="146"/>
      <c r="AC749" s="128"/>
      <c r="AD749" s="146"/>
      <c r="AE749" s="128"/>
      <c r="AF749" s="146"/>
      <c r="AG749" s="128"/>
      <c r="AH749" s="146"/>
      <c r="AI749" s="128"/>
      <c r="AJ749" s="146"/>
      <c r="AK749" s="128"/>
      <c r="AL749" s="146"/>
      <c r="AM749" s="128"/>
      <c r="AN749" s="146"/>
    </row>
    <row r="750" spans="1:40" s="121" customFormat="1" ht="15" customHeight="1">
      <c r="A750" s="132" t="s">
        <v>397</v>
      </c>
      <c r="B750" s="267" t="s">
        <v>637</v>
      </c>
      <c r="C750" s="134">
        <v>364575</v>
      </c>
      <c r="D750" s="134">
        <v>13</v>
      </c>
      <c r="E750" s="128"/>
      <c r="F750" s="146"/>
      <c r="G750" s="128"/>
      <c r="H750" s="146"/>
      <c r="I750" s="128"/>
      <c r="J750" s="146"/>
      <c r="K750" s="128"/>
      <c r="L750" s="146"/>
      <c r="M750" s="128"/>
      <c r="N750" s="146"/>
      <c r="O750" s="128"/>
      <c r="P750" s="146"/>
      <c r="Q750" s="128"/>
      <c r="R750" s="146"/>
      <c r="S750" s="128"/>
      <c r="T750" s="146"/>
      <c r="U750" s="128"/>
      <c r="V750" s="146"/>
      <c r="W750" s="128"/>
      <c r="X750" s="146"/>
      <c r="Y750" s="128"/>
      <c r="Z750" s="146"/>
      <c r="AA750" s="128"/>
      <c r="AB750" s="146"/>
      <c r="AC750" s="128"/>
      <c r="AD750" s="146"/>
      <c r="AE750" s="128"/>
      <c r="AF750" s="146"/>
      <c r="AG750" s="128"/>
      <c r="AH750" s="146"/>
      <c r="AI750" s="128"/>
      <c r="AJ750" s="146"/>
      <c r="AK750" s="128"/>
      <c r="AL750" s="146"/>
      <c r="AM750" s="128"/>
      <c r="AN750" s="146"/>
    </row>
    <row r="751" spans="1:40" s="121" customFormat="1" ht="15" customHeight="1">
      <c r="A751" s="132" t="s">
        <v>397</v>
      </c>
      <c r="B751" s="267" t="s">
        <v>638</v>
      </c>
      <c r="C751" s="134">
        <v>238096</v>
      </c>
      <c r="D751" s="134">
        <v>13</v>
      </c>
      <c r="E751" s="128"/>
      <c r="F751" s="146"/>
      <c r="G751" s="128"/>
      <c r="H751" s="146"/>
      <c r="I751" s="128"/>
      <c r="J751" s="146"/>
      <c r="K751" s="128"/>
      <c r="L751" s="146"/>
      <c r="M751" s="128"/>
      <c r="N751" s="146"/>
      <c r="O751" s="128"/>
      <c r="P751" s="146"/>
      <c r="Q751" s="128"/>
      <c r="R751" s="146"/>
      <c r="S751" s="128"/>
      <c r="T751" s="146"/>
      <c r="U751" s="128"/>
      <c r="V751" s="146"/>
      <c r="W751" s="128"/>
      <c r="X751" s="146"/>
      <c r="Y751" s="128"/>
      <c r="Z751" s="146"/>
      <c r="AA751" s="128"/>
      <c r="AB751" s="146"/>
      <c r="AC751" s="128"/>
      <c r="AD751" s="146"/>
      <c r="AE751" s="128"/>
      <c r="AF751" s="146"/>
      <c r="AG751" s="128"/>
      <c r="AH751" s="146"/>
      <c r="AI751" s="128"/>
      <c r="AJ751" s="146"/>
      <c r="AK751" s="128"/>
      <c r="AL751" s="146"/>
      <c r="AM751" s="128"/>
      <c r="AN751" s="146"/>
    </row>
    <row r="752" spans="1:40" s="121" customFormat="1" ht="15" customHeight="1">
      <c r="A752" s="132" t="s">
        <v>397</v>
      </c>
      <c r="B752" s="267" t="s">
        <v>639</v>
      </c>
      <c r="C752" s="134">
        <v>431169</v>
      </c>
      <c r="D752" s="134">
        <v>14</v>
      </c>
      <c r="E752" s="128"/>
      <c r="F752" s="146"/>
      <c r="G752" s="128"/>
      <c r="H752" s="146"/>
      <c r="I752" s="128"/>
      <c r="J752" s="146"/>
      <c r="K752" s="128"/>
      <c r="L752" s="146"/>
      <c r="M752" s="128"/>
      <c r="N752" s="146"/>
      <c r="O752" s="128"/>
      <c r="P752" s="146"/>
      <c r="Q752" s="128"/>
      <c r="R752" s="146"/>
      <c r="S752" s="128"/>
      <c r="T752" s="146"/>
      <c r="U752" s="128"/>
      <c r="V752" s="146"/>
      <c r="W752" s="128"/>
      <c r="X752" s="146"/>
      <c r="Y752" s="128"/>
      <c r="Z752" s="146"/>
      <c r="AA752" s="128"/>
      <c r="AB752" s="146"/>
      <c r="AC752" s="128"/>
      <c r="AD752" s="146"/>
      <c r="AE752" s="128"/>
      <c r="AF752" s="146"/>
      <c r="AG752" s="128"/>
      <c r="AH752" s="146"/>
      <c r="AI752" s="128"/>
      <c r="AJ752" s="146"/>
      <c r="AK752" s="128"/>
      <c r="AL752" s="146"/>
      <c r="AM752" s="128"/>
      <c r="AN752" s="146"/>
    </row>
  </sheetData>
  <printOptions/>
  <pageMargins left="0.75" right="0.75" top="1" bottom="1" header="0.5" footer="0.5"/>
  <pageSetup horizontalDpi="600" verticalDpi="600" orientation="portrait" r:id="rId3"/>
  <legacyDrawing r:id="rId2"/>
</worksheet>
</file>

<file path=xl/worksheets/sheet10.xml><?xml version="1.0" encoding="utf-8"?>
<worksheet xmlns="http://schemas.openxmlformats.org/spreadsheetml/2006/main" xmlns:r="http://schemas.openxmlformats.org/officeDocument/2006/relationships">
  <sheetPr>
    <tabColor indexed="16"/>
  </sheetPr>
  <dimension ref="A1:H33"/>
  <sheetViews>
    <sheetView showZeros="0" zoomScale="75" zoomScaleNormal="75" workbookViewId="0" topLeftCell="A1">
      <selection activeCell="B17" sqref="B17"/>
    </sheetView>
  </sheetViews>
  <sheetFormatPr defaultColWidth="8.796875" defaultRowHeight="15"/>
  <cols>
    <col min="1" max="1" width="18.5" style="0" customWidth="1"/>
    <col min="2" max="8" width="8.59765625" style="0" customWidth="1"/>
  </cols>
  <sheetData>
    <row r="1" spans="1:8" ht="18">
      <c r="A1" s="372" t="s">
        <v>1126</v>
      </c>
      <c r="B1" s="372"/>
      <c r="C1" s="372"/>
      <c r="D1" s="372"/>
      <c r="E1" s="372"/>
      <c r="F1" s="372"/>
      <c r="G1" s="372"/>
      <c r="H1" s="372"/>
    </row>
    <row r="2" spans="1:7" s="176" customFormat="1" ht="12.75">
      <c r="A2" s="177"/>
      <c r="B2" s="177"/>
      <c r="C2" s="177"/>
      <c r="D2" s="177"/>
      <c r="E2" s="177"/>
      <c r="F2" s="177"/>
      <c r="G2" s="177"/>
    </row>
    <row r="3" spans="1:8" s="176" customFormat="1" ht="15.75">
      <c r="A3" s="373" t="s">
        <v>416</v>
      </c>
      <c r="B3" s="373"/>
      <c r="C3" s="373"/>
      <c r="D3" s="373"/>
      <c r="E3" s="373"/>
      <c r="F3" s="373"/>
      <c r="G3" s="373"/>
      <c r="H3" s="373"/>
    </row>
    <row r="4" spans="1:8" ht="15.75">
      <c r="A4" s="373" t="s">
        <v>1020</v>
      </c>
      <c r="B4" s="373"/>
      <c r="C4" s="373"/>
      <c r="D4" s="373"/>
      <c r="E4" s="373"/>
      <c r="F4" s="373"/>
      <c r="G4" s="373"/>
      <c r="H4" s="373"/>
    </row>
    <row r="5" spans="1:8" ht="15.75">
      <c r="A5" s="373" t="s">
        <v>700</v>
      </c>
      <c r="B5" s="373"/>
      <c r="C5" s="373"/>
      <c r="D5" s="373"/>
      <c r="E5" s="373"/>
      <c r="F5" s="373"/>
      <c r="G5" s="373"/>
      <c r="H5" s="373"/>
    </row>
    <row r="6" spans="1:8" s="176" customFormat="1" ht="12.75">
      <c r="A6" s="3"/>
      <c r="B6" s="3"/>
      <c r="C6" s="3"/>
      <c r="D6" s="3"/>
      <c r="H6" s="190"/>
    </row>
    <row r="7" spans="1:8" s="176" customFormat="1" ht="12.75">
      <c r="A7" s="14"/>
      <c r="B7" s="14" t="s">
        <v>418</v>
      </c>
      <c r="C7" s="14"/>
      <c r="D7" s="14"/>
      <c r="E7" s="14"/>
      <c r="F7" s="14"/>
      <c r="G7" s="47"/>
      <c r="H7" s="182"/>
    </row>
    <row r="8" spans="1:8" s="15" customFormat="1" ht="27" customHeight="1">
      <c r="A8" s="236"/>
      <c r="B8" s="237">
        <v>1</v>
      </c>
      <c r="C8" s="237">
        <v>2</v>
      </c>
      <c r="D8" s="237">
        <v>3</v>
      </c>
      <c r="E8" s="237">
        <v>4</v>
      </c>
      <c r="F8" s="237">
        <v>5</v>
      </c>
      <c r="G8" s="237">
        <v>6</v>
      </c>
      <c r="H8" s="238" t="s">
        <v>949</v>
      </c>
    </row>
    <row r="9" ht="9" customHeight="1">
      <c r="G9" s="74"/>
    </row>
    <row r="10" spans="1:8" ht="12.75" customHeight="1">
      <c r="A10" s="7" t="s">
        <v>973</v>
      </c>
      <c r="B10" s="80">
        <f>+'Summary Medians'!M275</f>
        <v>14048</v>
      </c>
      <c r="C10" s="80">
        <f>+'Summary Medians'!$M$276</f>
        <v>14826.5</v>
      </c>
      <c r="D10" s="80">
        <f>+'Summary Medians'!$M$277</f>
        <v>10786.9</v>
      </c>
      <c r="E10" s="80">
        <f>+'Summary Medians'!M278</f>
        <v>11140</v>
      </c>
      <c r="F10" s="80">
        <f>+'Summary Medians'!$M$279</f>
        <v>9020</v>
      </c>
      <c r="G10" s="80">
        <f>+'Summary Medians'!$M$280</f>
        <v>10031</v>
      </c>
      <c r="H10" s="81">
        <f>+'Summary Medians'!M281</f>
        <v>11424</v>
      </c>
    </row>
    <row r="11" spans="1:8" ht="9" customHeight="1">
      <c r="A11" s="7"/>
      <c r="B11" s="49"/>
      <c r="C11" s="49"/>
      <c r="D11" s="49"/>
      <c r="E11" s="49"/>
      <c r="F11" s="49"/>
      <c r="G11" s="51"/>
      <c r="H11" s="70"/>
    </row>
    <row r="12" spans="1:8" ht="12.75" customHeight="1">
      <c r="A12" s="3" t="s">
        <v>419</v>
      </c>
      <c r="B12" s="31">
        <f>+'Summary Medians'!$M$3</f>
        <v>12664</v>
      </c>
      <c r="C12" s="31">
        <f>+'Summary Medians'!$M$4</f>
        <v>11608</v>
      </c>
      <c r="D12" s="31">
        <f>+'Summary Medians'!$M$5</f>
        <v>8496</v>
      </c>
      <c r="E12" s="31">
        <f>+'Summary Medians'!$M$6</f>
        <v>8964</v>
      </c>
      <c r="F12" s="31">
        <f>+'Summary Medians'!$M$7</f>
        <v>8712</v>
      </c>
      <c r="G12" s="31">
        <f>+'Summary Medians'!$M$8</f>
        <v>0</v>
      </c>
      <c r="H12" s="52">
        <f>+'Summary Medians'!$M$9</f>
        <v>9098</v>
      </c>
    </row>
    <row r="13" spans="1:8" ht="12.75" customHeight="1">
      <c r="A13" s="3" t="s">
        <v>420</v>
      </c>
      <c r="B13" s="31">
        <f>+'Summary Medians'!$M$20</f>
        <v>14549</v>
      </c>
      <c r="C13" s="31">
        <f>+'Summary Medians'!$M$21</f>
        <v>0</v>
      </c>
      <c r="D13" s="31">
        <f>+'Summary Medians'!$M$22</f>
        <v>10589</v>
      </c>
      <c r="E13" s="31">
        <f>+'Summary Medians'!$M$23</f>
        <v>0</v>
      </c>
      <c r="F13" s="31">
        <f>+'Summary Medians'!$M$24</f>
        <v>8100</v>
      </c>
      <c r="G13" s="31">
        <f>+'Summary Medians'!$M$25</f>
        <v>7880</v>
      </c>
      <c r="H13" s="52">
        <f>+'Summary Medians'!$M$26</f>
        <v>8245</v>
      </c>
    </row>
    <row r="14" spans="1:8" ht="12.75" customHeight="1">
      <c r="A14" s="3" t="s">
        <v>1031</v>
      </c>
      <c r="B14" s="31">
        <f>+'Summary Medians'!$M$37</f>
        <v>16512</v>
      </c>
      <c r="C14" s="31">
        <f>+'Summary Medians'!$M$38</f>
        <v>0</v>
      </c>
      <c r="D14" s="31">
        <f>+'Summary Medians'!$M$39</f>
        <v>0</v>
      </c>
      <c r="E14" s="31">
        <f>+'Summary Medians'!$M$40</f>
        <v>10593</v>
      </c>
      <c r="F14" s="31">
        <f>+'Summary Medians'!$M$41</f>
        <v>0</v>
      </c>
      <c r="G14" s="31">
        <f>+'Summary Medians'!$M$42</f>
        <v>0</v>
      </c>
      <c r="H14" s="52">
        <f>+'Summary Medians'!$M$43</f>
        <v>13552.5</v>
      </c>
    </row>
    <row r="15" spans="1:8" ht="12.75" customHeight="1">
      <c r="A15" s="7" t="s">
        <v>421</v>
      </c>
      <c r="B15" s="31">
        <f>+'Summary Medians'!$M$54</f>
        <v>21238.08</v>
      </c>
      <c r="C15" s="31">
        <f>+'Summary Medians'!$M$55</f>
        <v>21034.32</v>
      </c>
      <c r="D15" s="31">
        <f>+'Summary Medians'!$M$56</f>
        <v>20224</v>
      </c>
      <c r="E15" s="31">
        <f>+'Summary Medians'!$M$57</f>
        <v>0</v>
      </c>
      <c r="F15" s="31">
        <f>+'Summary Medians'!$M$58</f>
        <v>20270.6</v>
      </c>
      <c r="G15" s="31">
        <f>+'Summary Medians'!$M$59</f>
        <v>0</v>
      </c>
      <c r="H15" s="52">
        <f>+'Summary Medians'!$M$60</f>
        <v>20894.52</v>
      </c>
    </row>
    <row r="16" spans="1:8" ht="9" customHeight="1">
      <c r="A16" s="7"/>
      <c r="B16" s="31"/>
      <c r="C16" s="31"/>
      <c r="D16" s="31"/>
      <c r="E16" s="31"/>
      <c r="F16" s="31"/>
      <c r="G16" s="31"/>
      <c r="H16" s="52"/>
    </row>
    <row r="17" spans="1:8" ht="12.75" customHeight="1">
      <c r="A17" s="7" t="s">
        <v>422</v>
      </c>
      <c r="B17" s="31">
        <f>+'Summary Medians'!$M$71</f>
        <v>17619</v>
      </c>
      <c r="C17" s="31">
        <f>+'Summary Medians'!$M$72</f>
        <v>17850</v>
      </c>
      <c r="D17" s="31">
        <f>+'Summary Medians'!$M$73</f>
        <v>11873</v>
      </c>
      <c r="E17" s="31">
        <f>+'Summary Medians'!$M$74</f>
        <v>11721</v>
      </c>
      <c r="F17" s="31">
        <f>+'Summary Medians'!$M$75</f>
        <v>11728</v>
      </c>
      <c r="G17" s="31">
        <f>+'Summary Medians'!$M$76</f>
        <v>0</v>
      </c>
      <c r="H17" s="52">
        <f>+'Summary Medians'!$M$77</f>
        <v>11735</v>
      </c>
    </row>
    <row r="18" spans="1:8" ht="12.75" customHeight="1">
      <c r="A18" s="3" t="s">
        <v>423</v>
      </c>
      <c r="B18" s="31">
        <f>+'Summary Medians'!$M$88</f>
        <v>13092</v>
      </c>
      <c r="C18" s="31">
        <f>+'Summary Medians'!$M$89</f>
        <v>15084</v>
      </c>
      <c r="D18" s="31">
        <f>+'Summary Medians'!$M$90</f>
        <v>11340</v>
      </c>
      <c r="E18" s="31">
        <f>+'Summary Medians'!$M$91</f>
        <v>11750</v>
      </c>
      <c r="F18" s="31">
        <f>+'Summary Medians'!$M$92</f>
        <v>10238</v>
      </c>
      <c r="G18" s="31">
        <f>+'Summary Medians'!$M$93</f>
        <v>0</v>
      </c>
      <c r="H18" s="52">
        <f>+'Summary Medians'!$M$94</f>
        <v>11520</v>
      </c>
    </row>
    <row r="19" spans="1:8" ht="12.75" customHeight="1">
      <c r="A19" s="3" t="s">
        <v>424</v>
      </c>
      <c r="B19" s="31">
        <f>+'Summary Medians'!$M$105</f>
        <v>10987</v>
      </c>
      <c r="C19" s="31">
        <f>+'Summary Medians'!$M$106</f>
        <v>9970.5</v>
      </c>
      <c r="D19" s="31">
        <f>+'Summary Medians'!$M$107</f>
        <v>8522</v>
      </c>
      <c r="E19" s="31">
        <f>+'Summary Medians'!$M$108</f>
        <v>6904</v>
      </c>
      <c r="F19" s="31">
        <f>+'Summary Medians'!$M$109</f>
        <v>7514</v>
      </c>
      <c r="G19" s="31">
        <f>+'Summary Medians'!$M$110</f>
        <v>0</v>
      </c>
      <c r="H19" s="52">
        <f>+'Summary Medians'!$M$111</f>
        <v>8523</v>
      </c>
    </row>
    <row r="20" spans="1:8" ht="12.75" customHeight="1">
      <c r="A20" s="7" t="s">
        <v>425</v>
      </c>
      <c r="B20" s="31">
        <f>+'Summary Medians'!$M$122</f>
        <v>17701</v>
      </c>
      <c r="C20" s="31">
        <f>+'Summary Medians'!$M$123</f>
        <v>16392</v>
      </c>
      <c r="D20" s="31">
        <f>+'Summary Medians'!$M$124</f>
        <v>14592</v>
      </c>
      <c r="E20" s="31">
        <f>+'Summary Medians'!$M$125</f>
        <v>11880</v>
      </c>
      <c r="F20" s="31">
        <f>+'Summary Medians'!$M$126</f>
        <v>8088</v>
      </c>
      <c r="G20" s="31">
        <f>+'Summary Medians'!$M$127</f>
        <v>0</v>
      </c>
      <c r="H20" s="52">
        <f>+'Summary Medians'!$M$128</f>
        <v>12432</v>
      </c>
    </row>
    <row r="21" spans="1:8" ht="9" customHeight="1">
      <c r="A21" s="7"/>
      <c r="B21" s="31"/>
      <c r="C21" s="31"/>
      <c r="D21" s="31"/>
      <c r="E21" s="31"/>
      <c r="F21" s="31"/>
      <c r="G21" s="31"/>
      <c r="H21" s="52"/>
    </row>
    <row r="22" spans="1:8" ht="12.75" customHeight="1">
      <c r="A22" s="3" t="s">
        <v>426</v>
      </c>
      <c r="B22" s="31">
        <f>+'Summary Medians'!$M$139</f>
        <v>9276</v>
      </c>
      <c r="C22" s="31">
        <f>+'Summary Medians'!$M$140</f>
        <v>9284</v>
      </c>
      <c r="D22" s="31">
        <f>+'Summary Medians'!$M$141</f>
        <v>8570</v>
      </c>
      <c r="E22" s="31">
        <f>+'Summary Medians'!$M$142</f>
        <v>8358.5</v>
      </c>
      <c r="F22" s="31">
        <f>+'Summary Medians'!$M$143</f>
        <v>8692</v>
      </c>
      <c r="G22" s="31">
        <f>+'Summary Medians'!$M$144</f>
        <v>0</v>
      </c>
      <c r="H22" s="52">
        <f>+'Summary Medians'!$M$145</f>
        <v>8756</v>
      </c>
    </row>
    <row r="23" spans="1:8" ht="12.75" customHeight="1">
      <c r="A23" s="3" t="s">
        <v>427</v>
      </c>
      <c r="B23" s="31">
        <f>+'Summary Medians'!$M$156</f>
        <v>17224</v>
      </c>
      <c r="C23" s="31">
        <f>+'Summary Medians'!$M$157</f>
        <v>14569</v>
      </c>
      <c r="D23" s="31">
        <f>+'Summary Medians'!$M$158</f>
        <v>12930</v>
      </c>
      <c r="E23" s="31">
        <f>+'Summary Medians'!$M$159</f>
        <v>12183</v>
      </c>
      <c r="F23" s="31">
        <f>+'Summary Medians'!$M$160</f>
        <v>12200</v>
      </c>
      <c r="G23" s="31">
        <f>+'Summary Medians'!$M$161</f>
        <v>11227</v>
      </c>
      <c r="H23" s="52">
        <f>+'Summary Medians'!$M$162</f>
        <v>12854</v>
      </c>
    </row>
    <row r="24" spans="1:8" ht="12.75" customHeight="1">
      <c r="A24" s="3" t="s">
        <v>428</v>
      </c>
      <c r="B24" s="31">
        <f>+'Summary Medians'!$M$173</f>
        <v>11472</v>
      </c>
      <c r="C24" s="31">
        <f>+'Summary Medians'!$M$174</f>
        <v>0</v>
      </c>
      <c r="D24" s="31">
        <f>+'Summary Medians'!$M$175</f>
        <v>7416</v>
      </c>
      <c r="E24" s="31">
        <f>+'Summary Medians'!$M$176</f>
        <v>7008</v>
      </c>
      <c r="F24" s="31">
        <f>+'Summary Medians'!$M$177</f>
        <v>7128</v>
      </c>
      <c r="G24" s="31">
        <f>+'Summary Medians'!$M$178</f>
        <v>6984</v>
      </c>
      <c r="H24" s="52">
        <f>+'Summary Medians'!$M$179</f>
        <v>7128</v>
      </c>
    </row>
    <row r="25" spans="1:8" ht="12.75" customHeight="1">
      <c r="A25" s="3" t="s">
        <v>429</v>
      </c>
      <c r="B25" s="31">
        <f>+'Summary Medians'!$M$190</f>
        <v>15792</v>
      </c>
      <c r="C25" s="31">
        <f>+'Summary Medians'!$M$191</f>
        <v>13844</v>
      </c>
      <c r="D25" s="31">
        <f>+'Summary Medians'!$M$192</f>
        <v>11902</v>
      </c>
      <c r="E25" s="31">
        <f>+'Summary Medians'!$M$193</f>
        <v>11902</v>
      </c>
      <c r="F25" s="31">
        <f>+'Summary Medians'!$M$194</f>
        <v>12978</v>
      </c>
      <c r="G25" s="31">
        <f>+'Summary Medians'!$M$195</f>
        <v>15180</v>
      </c>
      <c r="H25" s="52">
        <f>+'Summary Medians'!$M$196</f>
        <v>13844</v>
      </c>
    </row>
    <row r="26" spans="1:8" ht="9" customHeight="1">
      <c r="A26" s="3"/>
      <c r="H26" s="53"/>
    </row>
    <row r="27" spans="1:8" ht="12.75" customHeight="1">
      <c r="A27" s="3" t="s">
        <v>430</v>
      </c>
      <c r="B27" s="31">
        <f>+'Summary Medians'!$M$207</f>
        <v>15157</v>
      </c>
      <c r="C27" s="31">
        <f>+'Summary Medians'!$M$208</f>
        <v>14156</v>
      </c>
      <c r="D27" s="31">
        <f>+'Summary Medians'!$M$209</f>
        <v>13669.5</v>
      </c>
      <c r="E27" s="31">
        <f>+'Summary Medians'!$M$210</f>
        <v>13733</v>
      </c>
      <c r="F27" s="31">
        <f>+'Summary Medians'!$M$211</f>
        <v>13042</v>
      </c>
      <c r="G27" s="31">
        <f>+'Summary Medians'!$M$212</f>
        <v>0</v>
      </c>
      <c r="H27" s="52">
        <f>+'Summary Medians'!$M$213</f>
        <v>13695</v>
      </c>
    </row>
    <row r="28" spans="1:8" ht="12.75" customHeight="1">
      <c r="A28" s="3" t="s">
        <v>431</v>
      </c>
      <c r="B28" s="31">
        <f>+'Summary Medians'!$M$224</f>
        <v>12820.8</v>
      </c>
      <c r="C28" s="31">
        <f>+'Summary Medians'!$M$225</f>
        <v>12783.6</v>
      </c>
      <c r="D28" s="31">
        <f>+'Summary Medians'!$M$226</f>
        <v>10185.6</v>
      </c>
      <c r="E28" s="31">
        <f>+'Summary Medians'!$M$227</f>
        <v>9195</v>
      </c>
      <c r="F28" s="31">
        <f>+'Summary Medians'!$M$228</f>
        <v>10634.4</v>
      </c>
      <c r="G28" s="31">
        <f>+'Summary Medians'!$M$229</f>
        <v>10293.6</v>
      </c>
      <c r="H28" s="52">
        <f>+'Summary Medians'!$M$230</f>
        <v>10354.8</v>
      </c>
    </row>
    <row r="29" spans="1:8" ht="12.75" customHeight="1">
      <c r="A29" s="3" t="s">
        <v>432</v>
      </c>
      <c r="B29" s="31">
        <f>+'Summary Medians'!$M$241</f>
        <v>15941</v>
      </c>
      <c r="C29" s="31">
        <f>+'Summary Medians'!$M$242</f>
        <v>16542</v>
      </c>
      <c r="D29" s="31">
        <f>+'Summary Medians'!$M$243</f>
        <v>12927</v>
      </c>
      <c r="E29" s="31">
        <f>+'Summary Medians'!$M$244</f>
        <v>15262.5</v>
      </c>
      <c r="F29" s="31">
        <f>+'Summary Medians'!$M$245</f>
        <v>14691</v>
      </c>
      <c r="G29" s="31">
        <f>+'Summary Medians'!$M$246</f>
        <v>9612</v>
      </c>
      <c r="H29" s="52">
        <f>+'Summary Medians'!$M$247</f>
        <v>15569</v>
      </c>
    </row>
    <row r="30" spans="1:8" ht="12.75" customHeight="1">
      <c r="A30" s="10" t="s">
        <v>433</v>
      </c>
      <c r="B30" s="36">
        <f>+'Summary Medians'!$M$258</f>
        <v>12442</v>
      </c>
      <c r="C30" s="36">
        <f>+'Summary Medians'!$M$259</f>
        <v>0</v>
      </c>
      <c r="D30" s="36">
        <f>+'Summary Medians'!$M$260</f>
        <v>11306</v>
      </c>
      <c r="E30" s="36">
        <f>+'Summary Medians'!$M$261</f>
        <v>0</v>
      </c>
      <c r="F30" s="36">
        <f>+'Summary Medians'!$M$262</f>
        <v>0</v>
      </c>
      <c r="G30" s="36">
        <f>+'Summary Medians'!$M$263</f>
        <v>8440</v>
      </c>
      <c r="H30" s="54">
        <f>+'Summary Medians'!$M$264</f>
        <v>10031</v>
      </c>
    </row>
    <row r="31" ht="9" customHeight="1"/>
    <row r="32" spans="1:8" ht="33" customHeight="1">
      <c r="A32" s="371" t="s">
        <v>1123</v>
      </c>
      <c r="B32" s="371"/>
      <c r="C32" s="371"/>
      <c r="D32" s="371"/>
      <c r="E32" s="371"/>
      <c r="F32" s="371"/>
      <c r="G32" s="371"/>
      <c r="H32" s="375"/>
    </row>
    <row r="33" ht="12" customHeight="1">
      <c r="H33" s="377" t="s">
        <v>37</v>
      </c>
    </row>
  </sheetData>
  <mergeCells count="5">
    <mergeCell ref="A32:H32"/>
    <mergeCell ref="A1:H1"/>
    <mergeCell ref="A3:H3"/>
    <mergeCell ref="A4:H4"/>
    <mergeCell ref="A5:H5"/>
  </mergeCells>
  <printOptions horizontalCentered="1"/>
  <pageMargins left="0.75" right="0.75" top="1" bottom="1" header="0.6" footer="0.5"/>
  <pageSetup horizontalDpi="600" verticalDpi="600" orientation="landscape" r:id="rId1"/>
  <headerFooter alignWithMargins="0">
    <oddHeader>&amp;R&amp;"Arial,Regular"&amp;8SREB-State Data Exchange</oddHeader>
    <oddFooter>&amp;C&amp;"ARIAL,Regular"&amp;10 164</oddFooter>
  </headerFooter>
</worksheet>
</file>

<file path=xl/worksheets/sheet11.xml><?xml version="1.0" encoding="utf-8"?>
<worksheet xmlns="http://schemas.openxmlformats.org/spreadsheetml/2006/main" xmlns:r="http://schemas.openxmlformats.org/officeDocument/2006/relationships">
  <sheetPr>
    <tabColor indexed="16"/>
  </sheetPr>
  <dimension ref="A1:I32"/>
  <sheetViews>
    <sheetView showZeros="0" zoomScale="75" zoomScaleNormal="75" workbookViewId="0" topLeftCell="A1">
      <selection activeCell="B10" sqref="B10"/>
    </sheetView>
  </sheetViews>
  <sheetFormatPr defaultColWidth="8.796875" defaultRowHeight="15"/>
  <cols>
    <col min="1" max="1" width="17.8984375" style="0" customWidth="1"/>
    <col min="2" max="6" width="8.59765625" style="0" customWidth="1"/>
    <col min="7" max="7" width="9.19921875" style="0" customWidth="1"/>
    <col min="8" max="8" width="8.59765625" style="0" customWidth="1"/>
    <col min="9" max="9" width="10.59765625" style="0" customWidth="1"/>
  </cols>
  <sheetData>
    <row r="1" spans="1:9" ht="18">
      <c r="A1" s="38" t="s">
        <v>1064</v>
      </c>
      <c r="B1" s="38"/>
      <c r="C1" s="38"/>
      <c r="D1" s="38"/>
      <c r="E1" s="38"/>
      <c r="F1" s="38"/>
      <c r="G1" s="38"/>
      <c r="H1" s="38"/>
      <c r="I1" s="23"/>
    </row>
    <row r="2" spans="1:9" s="176" customFormat="1" ht="12.75">
      <c r="A2" s="175"/>
      <c r="B2" s="175"/>
      <c r="C2" s="175"/>
      <c r="D2" s="175"/>
      <c r="E2" s="175"/>
      <c r="F2" s="175"/>
      <c r="G2" s="175"/>
      <c r="H2" s="175"/>
      <c r="I2" s="177"/>
    </row>
    <row r="3" spans="1:9" ht="15.75">
      <c r="A3" s="39" t="s">
        <v>416</v>
      </c>
      <c r="B3" s="39"/>
      <c r="C3" s="39"/>
      <c r="D3" s="39"/>
      <c r="E3" s="39"/>
      <c r="F3" s="39"/>
      <c r="G3" s="39"/>
      <c r="H3" s="39"/>
      <c r="I3" s="24"/>
    </row>
    <row r="4" spans="1:9" ht="15.75">
      <c r="A4" s="39" t="s">
        <v>1021</v>
      </c>
      <c r="B4" s="39"/>
      <c r="C4" s="39"/>
      <c r="D4" s="39"/>
      <c r="E4" s="39"/>
      <c r="F4" s="39"/>
      <c r="G4" s="39"/>
      <c r="H4" s="39"/>
      <c r="I4" s="24"/>
    </row>
    <row r="5" spans="1:9" ht="15.75">
      <c r="A5" s="39" t="s">
        <v>700</v>
      </c>
      <c r="B5" s="39"/>
      <c r="C5" s="39"/>
      <c r="D5" s="39"/>
      <c r="E5" s="39"/>
      <c r="F5" s="39"/>
      <c r="G5" s="39"/>
      <c r="H5" s="39"/>
      <c r="I5" s="24"/>
    </row>
    <row r="6" spans="1:9" s="176" customFormat="1" ht="12.75">
      <c r="A6" s="181"/>
      <c r="B6" s="181"/>
      <c r="C6" s="181"/>
      <c r="D6" s="181"/>
      <c r="E6" s="181"/>
      <c r="F6" s="181"/>
      <c r="G6" s="181"/>
      <c r="H6" s="181"/>
      <c r="I6" s="181"/>
    </row>
    <row r="7" spans="1:9" s="15" customFormat="1" ht="15.75">
      <c r="A7" s="234"/>
      <c r="B7" s="71"/>
      <c r="C7" s="71"/>
      <c r="D7" s="71"/>
      <c r="E7" s="71"/>
      <c r="F7" s="71"/>
      <c r="G7" s="71" t="s">
        <v>1022</v>
      </c>
      <c r="H7" s="71" t="s">
        <v>1023</v>
      </c>
      <c r="I7" s="37"/>
    </row>
    <row r="8" spans="1:8" s="15" customFormat="1" ht="15.75">
      <c r="A8" s="235"/>
      <c r="B8" s="37" t="s">
        <v>1024</v>
      </c>
      <c r="C8" s="37" t="s">
        <v>1025</v>
      </c>
      <c r="D8" s="37" t="s">
        <v>1026</v>
      </c>
      <c r="E8" s="37" t="s">
        <v>1027</v>
      </c>
      <c r="F8" s="37" t="s">
        <v>1028</v>
      </c>
      <c r="G8" s="37" t="s">
        <v>1025</v>
      </c>
      <c r="H8" s="37" t="s">
        <v>1025</v>
      </c>
    </row>
    <row r="9" spans="1:9" ht="9" customHeight="1">
      <c r="A9" s="16"/>
      <c r="B9" s="76"/>
      <c r="C9" s="76"/>
      <c r="D9" s="76"/>
      <c r="E9" s="76"/>
      <c r="F9" s="76"/>
      <c r="G9" s="76"/>
      <c r="H9" s="76"/>
      <c r="I9" s="17"/>
    </row>
    <row r="10" spans="1:9" ht="12.75" customHeight="1">
      <c r="A10" s="7" t="s">
        <v>973</v>
      </c>
      <c r="B10" s="80">
        <f>+'Summary Medians'!$P$291</f>
        <v>9200</v>
      </c>
      <c r="C10" s="80">
        <f>+'Summary Medians'!$V$291</f>
        <v>13104</v>
      </c>
      <c r="D10" s="80">
        <f>+'Summary Medians'!$AB$291</f>
        <v>11189</v>
      </c>
      <c r="E10" s="80">
        <f>+'Summary Medians'!$AH$291</f>
        <v>8050</v>
      </c>
      <c r="F10" s="80">
        <f>+'Summary Medians'!$AN$291</f>
        <v>9871</v>
      </c>
      <c r="G10" s="80">
        <f>+'Summary Medians'!$AT$291</f>
        <v>16153</v>
      </c>
      <c r="H10" s="80">
        <f>+'Summary Medians'!$AZ$291</f>
        <v>10435</v>
      </c>
      <c r="I10" s="22"/>
    </row>
    <row r="11" spans="1:9" ht="9" customHeight="1">
      <c r="A11" s="18"/>
      <c r="B11" s="49"/>
      <c r="C11" s="49"/>
      <c r="D11" s="49"/>
      <c r="E11" s="49"/>
      <c r="F11" s="49"/>
      <c r="G11" s="49"/>
      <c r="H11" s="49"/>
      <c r="I11" s="12"/>
    </row>
    <row r="12" spans="1:9" ht="12.75" customHeight="1">
      <c r="A12" s="3" t="s">
        <v>419</v>
      </c>
      <c r="B12" s="31">
        <f>+'Summary Medians'!$P$19</f>
        <v>8130</v>
      </c>
      <c r="C12" s="31">
        <f>+'Summary Medians'!$V$19</f>
        <v>11937</v>
      </c>
      <c r="D12" s="31">
        <f>+'Summary Medians'!$AB$19</f>
        <v>11189</v>
      </c>
      <c r="E12" s="31">
        <f>+'Summary Medians'!$AH$19</f>
        <v>12508</v>
      </c>
      <c r="F12" s="31">
        <f>+'Summary Medians'!$AN$19</f>
        <v>12618</v>
      </c>
      <c r="G12" s="31">
        <f>+'Summary Medians'!$AT$19</f>
        <v>0</v>
      </c>
      <c r="H12" s="31">
        <f>+'Summary Medians'!$AZ$19</f>
        <v>9048</v>
      </c>
      <c r="I12" s="8"/>
    </row>
    <row r="13" spans="1:9" ht="12.75" customHeight="1">
      <c r="A13" s="3" t="s">
        <v>420</v>
      </c>
      <c r="B13" s="31">
        <f>+'Summary Medians'!$P$36</f>
        <v>7093.5</v>
      </c>
      <c r="C13" s="31">
        <f>+'Summary Medians'!$V$36</f>
        <v>13331</v>
      </c>
      <c r="D13" s="31">
        <f>+'Summary Medians'!$AB$36</f>
        <v>0</v>
      </c>
      <c r="E13" s="31">
        <f>+'Summary Medians'!$AH$36</f>
        <v>7430</v>
      </c>
      <c r="F13" s="31">
        <f>+'Summary Medians'!$AN$36</f>
        <v>0</v>
      </c>
      <c r="G13" s="31">
        <f>+'Summary Medians'!$AT$36</f>
        <v>0</v>
      </c>
      <c r="H13" s="31">
        <f>+'Summary Medians'!$AZ$36</f>
        <v>0</v>
      </c>
      <c r="I13" s="8"/>
    </row>
    <row r="14" spans="1:9" ht="12.75" customHeight="1">
      <c r="A14" s="3" t="s">
        <v>1031</v>
      </c>
      <c r="B14" s="31">
        <f>+'Summary Medians'!$P$53</f>
        <v>0</v>
      </c>
      <c r="C14" s="31">
        <f>+'Summary Medians'!$V$53</f>
        <v>0</v>
      </c>
      <c r="D14" s="31">
        <f>+'Summary Medians'!$AB$53</f>
        <v>0</v>
      </c>
      <c r="E14" s="31">
        <f>+'Summary Medians'!$AH$53</f>
        <v>0</v>
      </c>
      <c r="F14" s="31">
        <f>+'Summary Medians'!$AN$53</f>
        <v>0</v>
      </c>
      <c r="G14" s="31">
        <f>+'Summary Medians'!$AT$53</f>
        <v>0</v>
      </c>
      <c r="H14" s="31">
        <f>+'Summary Medians'!$AZ$53</f>
        <v>0</v>
      </c>
      <c r="I14" s="8"/>
    </row>
    <row r="15" spans="1:9" ht="12.75" customHeight="1">
      <c r="A15" s="3" t="s">
        <v>421</v>
      </c>
      <c r="B15" s="31">
        <f>+'Summary Medians'!$P$70</f>
        <v>6073.8</v>
      </c>
      <c r="C15" s="31">
        <f>+'Summary Medians'!$V$70</f>
        <v>16919.41</v>
      </c>
      <c r="D15" s="31">
        <f>+'Summary Medians'!$AB$70</f>
        <v>14494.22</v>
      </c>
      <c r="E15" s="31">
        <f>+'Summary Medians'!$AH$70</f>
        <v>5400.68</v>
      </c>
      <c r="F15" s="31">
        <f>+'Summary Medians'!$AN$70</f>
        <v>0</v>
      </c>
      <c r="G15" s="31">
        <f>+'Summary Medians'!$AT$70</f>
        <v>0</v>
      </c>
      <c r="H15" s="31">
        <f>+'Summary Medians'!$AZ$70</f>
        <v>12205.46</v>
      </c>
      <c r="I15" s="8"/>
    </row>
    <row r="16" spans="1:9" ht="9" customHeight="1">
      <c r="A16" s="3"/>
      <c r="B16" s="31"/>
      <c r="C16" s="31"/>
      <c r="D16" s="31"/>
      <c r="E16" s="31"/>
      <c r="F16" s="31"/>
      <c r="G16" s="31"/>
      <c r="H16" s="31"/>
      <c r="I16" s="8"/>
    </row>
    <row r="17" spans="1:9" ht="12.75" customHeight="1">
      <c r="A17" s="3" t="s">
        <v>422</v>
      </c>
      <c r="B17" s="31">
        <f>+'Summary Medians'!$P$87</f>
        <v>6988</v>
      </c>
      <c r="C17" s="31">
        <f>+'Summary Medians'!$V$87</f>
        <v>11358</v>
      </c>
      <c r="D17" s="31">
        <f>+'Summary Medians'!$AB$87</f>
        <v>8948</v>
      </c>
      <c r="E17" s="31">
        <f>+'Summary Medians'!$AH$87</f>
        <v>7680</v>
      </c>
      <c r="F17" s="31">
        <f>+'Summary Medians'!$AN$87</f>
        <v>0</v>
      </c>
      <c r="G17" s="31">
        <f>+'Summary Medians'!$AT$87</f>
        <v>0</v>
      </c>
      <c r="H17" s="31">
        <f>+'Summary Medians'!$AZ$87</f>
        <v>10196</v>
      </c>
      <c r="I17" s="8"/>
    </row>
    <row r="18" spans="1:9" ht="12.75" customHeight="1">
      <c r="A18" s="3" t="s">
        <v>423</v>
      </c>
      <c r="B18" s="31">
        <f>+'Summary Medians'!$P$104</f>
        <v>9240</v>
      </c>
      <c r="C18" s="31">
        <f>+'Summary Medians'!$V$104</f>
        <v>16552</v>
      </c>
      <c r="D18" s="31">
        <f>+'Summary Medians'!$AB$104</f>
        <v>14701</v>
      </c>
      <c r="E18" s="31">
        <f>+'Summary Medians'!$AH$104</f>
        <v>9706</v>
      </c>
      <c r="F18" s="31">
        <f>+'Summary Medians'!$AN$104</f>
        <v>0</v>
      </c>
      <c r="G18" s="31">
        <f>+'Summary Medians'!$AT$104</f>
        <v>0</v>
      </c>
      <c r="H18" s="31">
        <f>+'Summary Medians'!$AZ$104</f>
        <v>0</v>
      </c>
      <c r="I18" s="8"/>
    </row>
    <row r="19" spans="1:9" ht="12.75" customHeight="1">
      <c r="A19" s="3" t="s">
        <v>424</v>
      </c>
      <c r="B19" s="31">
        <f>+'Summary Medians'!$P$121</f>
        <v>8687</v>
      </c>
      <c r="C19" s="31">
        <f>+'Summary Medians'!$V$121</f>
        <v>10832.5</v>
      </c>
      <c r="D19" s="31">
        <f>+'Summary Medians'!$AB$121</f>
        <v>9894</v>
      </c>
      <c r="E19" s="31">
        <f>+'Summary Medians'!$AH$121</f>
        <v>5524</v>
      </c>
      <c r="F19" s="31">
        <f>+'Summary Medians'!$AN$121</f>
        <v>0</v>
      </c>
      <c r="G19" s="31">
        <f>+'Summary Medians'!$AT$121</f>
        <v>0</v>
      </c>
      <c r="H19" s="31">
        <f>+'Summary Medians'!$AZ$121</f>
        <v>11307</v>
      </c>
      <c r="I19" s="8"/>
    </row>
    <row r="20" spans="1:9" ht="12.75" customHeight="1">
      <c r="A20" s="3" t="s">
        <v>425</v>
      </c>
      <c r="B20" s="31">
        <f>+'Summary Medians'!$P$138</f>
        <v>14040.5</v>
      </c>
      <c r="C20" s="31">
        <f>+'Summary Medians'!$V$138</f>
        <v>19046</v>
      </c>
      <c r="D20" s="31">
        <f>+'Summary Medians'!$AB$138</f>
        <v>16155</v>
      </c>
      <c r="E20" s="31">
        <f>+'Summary Medians'!$AH$138</f>
        <v>11338</v>
      </c>
      <c r="F20" s="31">
        <f>+'Summary Medians'!$AN$138</f>
        <v>0</v>
      </c>
      <c r="G20" s="31">
        <f>+'Summary Medians'!$AT$138</f>
        <v>0</v>
      </c>
      <c r="H20" s="31">
        <f>+'Summary Medians'!$AZ$138</f>
        <v>0</v>
      </c>
      <c r="I20" s="8"/>
    </row>
    <row r="21" spans="1:9" ht="9" customHeight="1">
      <c r="A21" s="3"/>
      <c r="B21" s="31"/>
      <c r="C21" s="31"/>
      <c r="D21" s="31"/>
      <c r="E21" s="31"/>
      <c r="F21" s="31"/>
      <c r="G21" s="31"/>
      <c r="H21" s="31"/>
      <c r="I21" s="8"/>
    </row>
    <row r="22" spans="1:9" ht="12.75" customHeight="1">
      <c r="A22" s="3" t="s">
        <v>426</v>
      </c>
      <c r="B22" s="31">
        <f>+'Summary Medians'!$P$155</f>
        <v>11634</v>
      </c>
      <c r="C22" s="31">
        <f>+'Summary Medians'!$V$155</f>
        <v>7285</v>
      </c>
      <c r="D22" s="31">
        <f>+'Summary Medians'!$AB$155</f>
        <v>5965</v>
      </c>
      <c r="E22" s="31">
        <f>+'Summary Medians'!$AH$155</f>
        <v>7056</v>
      </c>
      <c r="F22" s="31">
        <f>+'Summary Medians'!$AN$155</f>
        <v>0</v>
      </c>
      <c r="G22" s="31">
        <f>+'Summary Medians'!$AT$155</f>
        <v>0</v>
      </c>
      <c r="H22" s="31">
        <f>+'Summary Medians'!$AZ$155</f>
        <v>9230</v>
      </c>
      <c r="I22" s="8"/>
    </row>
    <row r="23" spans="1:9" ht="12.75" customHeight="1">
      <c r="A23" s="3" t="s">
        <v>427</v>
      </c>
      <c r="B23" s="31">
        <f>+'Summary Medians'!$P$172</f>
        <v>7264</v>
      </c>
      <c r="C23" s="31">
        <f>+'Summary Medians'!$V$172</f>
        <v>7686</v>
      </c>
      <c r="D23" s="31">
        <f>+'Summary Medians'!$AB$172</f>
        <v>10932</v>
      </c>
      <c r="E23" s="31">
        <f>+'Summary Medians'!$AH$172</f>
        <v>9421</v>
      </c>
      <c r="F23" s="31">
        <f>+'Summary Medians'!$AN$172</f>
        <v>0</v>
      </c>
      <c r="G23" s="31">
        <f>+'Summary Medians'!$AT$172</f>
        <v>0</v>
      </c>
      <c r="H23" s="31">
        <f>+'Summary Medians'!$AZ$172</f>
        <v>9445</v>
      </c>
      <c r="I23" s="8"/>
    </row>
    <row r="24" spans="1:9" ht="12.75" customHeight="1">
      <c r="A24" s="3" t="s">
        <v>428</v>
      </c>
      <c r="B24" s="31">
        <f>+'Summary Medians'!$P$189</f>
        <v>9670</v>
      </c>
      <c r="C24" s="31">
        <f>+'Summary Medians'!$V$189</f>
        <v>16339</v>
      </c>
      <c r="D24" s="31">
        <f>+'Summary Medians'!$AB$189</f>
        <v>13455</v>
      </c>
      <c r="E24" s="31">
        <f>+'Summary Medians'!$AH$189</f>
        <v>8142.5</v>
      </c>
      <c r="F24" s="31">
        <f>+'Summary Medians'!$AN$189</f>
        <v>9871</v>
      </c>
      <c r="G24" s="31">
        <f>+'Summary Medians'!$AT$189</f>
        <v>15888</v>
      </c>
      <c r="H24" s="31">
        <f>+'Summary Medians'!$AZ$189</f>
        <v>10674</v>
      </c>
      <c r="I24" s="8"/>
    </row>
    <row r="25" spans="1:9" ht="12.75" customHeight="1">
      <c r="A25" s="3" t="s">
        <v>429</v>
      </c>
      <c r="B25" s="31">
        <f>+'Summary Medians'!$P$206</f>
        <v>14378</v>
      </c>
      <c r="C25" s="31">
        <f>+'Summary Medians'!$V$206</f>
        <v>18725</v>
      </c>
      <c r="D25" s="31">
        <f>+'Summary Medians'!$AB$206</f>
        <v>11590</v>
      </c>
      <c r="E25" s="31">
        <f>+'Summary Medians'!$AH$206</f>
        <v>8878</v>
      </c>
      <c r="F25" s="31">
        <f>+'Summary Medians'!$AN$206</f>
        <v>0</v>
      </c>
      <c r="G25" s="31">
        <f>+'Summary Medians'!$AT$206</f>
        <v>0</v>
      </c>
      <c r="H25" s="31">
        <f>+'Summary Medians'!$AZ$206</f>
        <v>0</v>
      </c>
      <c r="I25" s="8"/>
    </row>
    <row r="26" spans="1:9" ht="9" customHeight="1">
      <c r="A26" s="3"/>
      <c r="I26" s="8"/>
    </row>
    <row r="27" spans="1:9" ht="12.75" customHeight="1">
      <c r="A27" s="3" t="s">
        <v>430</v>
      </c>
      <c r="B27" s="31">
        <f>+'Summary Medians'!$P$223</f>
        <v>8341</v>
      </c>
      <c r="C27" s="31">
        <f>+'Summary Medians'!$V$223</f>
        <v>16702</v>
      </c>
      <c r="D27" s="31">
        <f>+'Summary Medians'!$AB$223</f>
        <v>12975</v>
      </c>
      <c r="E27" s="31">
        <f>+'Summary Medians'!$AH$223</f>
        <v>10237</v>
      </c>
      <c r="F27" s="31">
        <f>+'Summary Medians'!$AN$223</f>
        <v>0</v>
      </c>
      <c r="G27" s="31">
        <f>+'Summary Medians'!$AT$223</f>
        <v>0</v>
      </c>
      <c r="H27" s="31">
        <f>+'Summary Medians'!$AZ$223</f>
        <v>10175</v>
      </c>
      <c r="I27" s="8"/>
    </row>
    <row r="28" spans="1:9" ht="12.75" customHeight="1">
      <c r="A28" s="3" t="s">
        <v>431</v>
      </c>
      <c r="B28" s="31">
        <f>+'Summary Medians'!$P$240</f>
        <v>11821</v>
      </c>
      <c r="C28" s="31">
        <f>+'Summary Medians'!$V$240</f>
        <v>9897</v>
      </c>
      <c r="D28" s="31">
        <f>+'Summary Medians'!$AB$240</f>
        <v>10795</v>
      </c>
      <c r="E28" s="31">
        <f>+'Summary Medians'!$AH$240</f>
        <v>7555</v>
      </c>
      <c r="F28" s="31">
        <f>+'Summary Medians'!$AN$240</f>
        <v>9294</v>
      </c>
      <c r="G28" s="31">
        <f>+'Summary Medians'!$AT$240</f>
        <v>0</v>
      </c>
      <c r="H28" s="31">
        <f>+'Summary Medians'!$AZ$240</f>
        <v>11714</v>
      </c>
      <c r="I28" s="8"/>
    </row>
    <row r="29" spans="1:9" ht="12.75" customHeight="1">
      <c r="A29" s="3" t="s">
        <v>432</v>
      </c>
      <c r="B29" s="31">
        <f>+'Summary Medians'!$P$257</f>
        <v>14160</v>
      </c>
      <c r="C29" s="31">
        <f>+'Summary Medians'!$V$257</f>
        <v>23999</v>
      </c>
      <c r="D29" s="31">
        <f>+'Summary Medians'!$AB$257</f>
        <v>19487</v>
      </c>
      <c r="E29" s="31">
        <f>+'Summary Medians'!$AH$257</f>
        <v>16611</v>
      </c>
      <c r="F29" s="31">
        <f>+'Summary Medians'!$AN$257</f>
        <v>0</v>
      </c>
      <c r="G29" s="31">
        <f>+'Summary Medians'!$AT$257</f>
        <v>0</v>
      </c>
      <c r="H29" s="31">
        <f>+'Summary Medians'!$AZ$257</f>
        <v>12867</v>
      </c>
      <c r="I29" s="8"/>
    </row>
    <row r="30" spans="1:9" ht="12.75" customHeight="1">
      <c r="A30" s="10" t="s">
        <v>433</v>
      </c>
      <c r="B30" s="36">
        <f>+'Summary Medians'!$P$274</f>
        <v>8106</v>
      </c>
      <c r="C30" s="36">
        <f>+'Summary Medians'!$V$274</f>
        <v>15022</v>
      </c>
      <c r="D30" s="36">
        <f>+'Summary Medians'!$AB$274</f>
        <v>10094</v>
      </c>
      <c r="E30" s="36">
        <f>+'Summary Medians'!$AH$274</f>
        <v>8032</v>
      </c>
      <c r="F30" s="36">
        <f>+'Summary Medians'!$AN$274</f>
        <v>0</v>
      </c>
      <c r="G30" s="36">
        <f>+'Summary Medians'!$AT$274</f>
        <v>16418</v>
      </c>
      <c r="H30" s="36">
        <f>+'Summary Medians'!$AZ$274</f>
        <v>0</v>
      </c>
      <c r="I30" s="11"/>
    </row>
    <row r="31" spans="1:9" ht="9" customHeight="1">
      <c r="A31" s="13"/>
      <c r="B31" s="17"/>
      <c r="C31" s="17"/>
      <c r="D31" s="17"/>
      <c r="E31" s="17"/>
      <c r="F31" s="17"/>
      <c r="G31" s="17"/>
      <c r="H31" s="17"/>
      <c r="I31" s="17"/>
    </row>
    <row r="32" spans="1:9" ht="29.25" customHeight="1">
      <c r="A32" s="371" t="s">
        <v>38</v>
      </c>
      <c r="B32" s="371"/>
      <c r="C32" s="371"/>
      <c r="D32" s="371"/>
      <c r="E32" s="371"/>
      <c r="F32" s="371"/>
      <c r="G32" s="371"/>
      <c r="H32" s="371"/>
      <c r="I32" s="25"/>
    </row>
  </sheetData>
  <mergeCells count="1">
    <mergeCell ref="A32:H32"/>
  </mergeCells>
  <printOptions horizontalCentered="1"/>
  <pageMargins left="0.75" right="0.75" top="1" bottom="1" header="0.6" footer="0.5"/>
  <pageSetup horizontalDpi="600" verticalDpi="600" orientation="landscape" r:id="rId1"/>
  <headerFooter alignWithMargins="0">
    <oddHeader>&amp;R&amp;"Arial,Regular"&amp;8SREB-State Data Exchange</oddHeader>
    <oddFooter>&amp;C&amp;"Arial,Regular"&amp;10 165&amp;R&amp;"Arial,Regular"&amp;8December 2005</oddFooter>
  </headerFooter>
</worksheet>
</file>

<file path=xl/worksheets/sheet12.xml><?xml version="1.0" encoding="utf-8"?>
<worksheet xmlns="http://schemas.openxmlformats.org/spreadsheetml/2006/main" xmlns:r="http://schemas.openxmlformats.org/officeDocument/2006/relationships">
  <sheetPr>
    <tabColor indexed="16"/>
  </sheetPr>
  <dimension ref="A1:H34"/>
  <sheetViews>
    <sheetView showZeros="0" zoomScale="75" zoomScaleNormal="75" workbookViewId="0" topLeftCell="A1">
      <selection activeCell="J16" sqref="J16"/>
    </sheetView>
  </sheetViews>
  <sheetFormatPr defaultColWidth="8.796875" defaultRowHeight="15"/>
  <cols>
    <col min="1" max="1" width="17" style="0" customWidth="1"/>
    <col min="2" max="6" width="8.59765625" style="0" customWidth="1"/>
    <col min="7" max="7" width="8.8984375" style="0" customWidth="1"/>
    <col min="8" max="8" width="8.59765625" style="0" customWidth="1"/>
  </cols>
  <sheetData>
    <row r="1" spans="1:8" ht="18">
      <c r="A1" s="38" t="s">
        <v>1065</v>
      </c>
      <c r="B1" s="38"/>
      <c r="C1" s="38"/>
      <c r="D1" s="38"/>
      <c r="E1" s="38"/>
      <c r="F1" s="38"/>
      <c r="G1" s="38"/>
      <c r="H1" s="38"/>
    </row>
    <row r="2" spans="1:8" s="176" customFormat="1" ht="12.75">
      <c r="A2" s="175"/>
      <c r="B2" s="175"/>
      <c r="C2" s="175"/>
      <c r="D2" s="175"/>
      <c r="E2" s="175"/>
      <c r="F2" s="175"/>
      <c r="G2" s="175"/>
      <c r="H2" s="175"/>
    </row>
    <row r="3" spans="1:8" ht="15.75">
      <c r="A3" s="39" t="s">
        <v>416</v>
      </c>
      <c r="B3" s="39"/>
      <c r="C3" s="39"/>
      <c r="D3" s="39"/>
      <c r="E3" s="39"/>
      <c r="F3" s="39"/>
      <c r="G3" s="39"/>
      <c r="H3" s="39"/>
    </row>
    <row r="4" spans="1:8" ht="15.75">
      <c r="A4" s="39" t="s">
        <v>1030</v>
      </c>
      <c r="B4" s="39"/>
      <c r="C4" s="39"/>
      <c r="D4" s="39"/>
      <c r="E4" s="39"/>
      <c r="F4" s="39"/>
      <c r="G4" s="39"/>
      <c r="H4" s="39"/>
    </row>
    <row r="5" spans="1:8" ht="15.75">
      <c r="A5" s="39" t="s">
        <v>700</v>
      </c>
      <c r="B5" s="39"/>
      <c r="C5" s="39"/>
      <c r="D5" s="39"/>
      <c r="E5" s="39"/>
      <c r="F5" s="39"/>
      <c r="G5" s="39"/>
      <c r="H5" s="39"/>
    </row>
    <row r="6" spans="1:8" s="176" customFormat="1" ht="12.75">
      <c r="A6" s="180"/>
      <c r="B6" s="180"/>
      <c r="C6" s="180"/>
      <c r="D6" s="180"/>
      <c r="E6" s="180"/>
      <c r="F6" s="180"/>
      <c r="G6" s="180"/>
      <c r="H6" s="180"/>
    </row>
    <row r="7" spans="1:8" s="15" customFormat="1" ht="15.75">
      <c r="A7" s="234"/>
      <c r="B7" s="71"/>
      <c r="C7" s="71"/>
      <c r="D7" s="71"/>
      <c r="E7" s="71"/>
      <c r="F7" s="71"/>
      <c r="G7" s="71" t="s">
        <v>1022</v>
      </c>
      <c r="H7" s="71" t="s">
        <v>1023</v>
      </c>
    </row>
    <row r="8" spans="1:8" s="15" customFormat="1" ht="15.75">
      <c r="A8" s="235"/>
      <c r="B8" s="37" t="s">
        <v>1024</v>
      </c>
      <c r="C8" s="37" t="s">
        <v>1025</v>
      </c>
      <c r="D8" s="37" t="s">
        <v>1026</v>
      </c>
      <c r="E8" s="37" t="s">
        <v>1027</v>
      </c>
      <c r="F8" s="37" t="s">
        <v>1028</v>
      </c>
      <c r="G8" s="37" t="s">
        <v>1025</v>
      </c>
      <c r="H8" s="37" t="s">
        <v>1025</v>
      </c>
    </row>
    <row r="9" s="78" customFormat="1" ht="9" customHeight="1">
      <c r="A9" s="77"/>
    </row>
    <row r="10" spans="1:8" ht="12.75" customHeight="1">
      <c r="A10" s="7" t="s">
        <v>973</v>
      </c>
      <c r="B10" s="80">
        <f>+'Summary Medians'!$S$291</f>
        <v>20746</v>
      </c>
      <c r="C10" s="80">
        <f>+'Summary Medians'!$Y$291</f>
        <v>32648</v>
      </c>
      <c r="D10" s="80">
        <f>+'Summary Medians'!$AE$291</f>
        <v>31134</v>
      </c>
      <c r="E10" s="80">
        <f>+'Summary Medians'!$AK$291</f>
        <v>21420.54</v>
      </c>
      <c r="F10" s="80">
        <f>+'Summary Medians'!$AQ$291</f>
        <v>21491</v>
      </c>
      <c r="G10" s="80">
        <f>+'Summary Medians'!$AW$291</f>
        <v>35371.5</v>
      </c>
      <c r="H10" s="80">
        <f>+'Summary Medians'!$BC$291</f>
        <v>28207</v>
      </c>
    </row>
    <row r="11" spans="1:8" s="50" customFormat="1" ht="9" customHeight="1">
      <c r="A11" s="48"/>
      <c r="B11" s="49"/>
      <c r="C11" s="49"/>
      <c r="D11" s="49"/>
      <c r="E11" s="49"/>
      <c r="F11" s="49"/>
      <c r="G11" s="49"/>
      <c r="H11" s="49"/>
    </row>
    <row r="12" spans="1:8" ht="12.75" customHeight="1">
      <c r="A12" s="3" t="s">
        <v>419</v>
      </c>
      <c r="B12" s="31">
        <f>+'Summary Medians'!$S$19</f>
        <v>16802</v>
      </c>
      <c r="C12" s="31">
        <f>+'Summary Medians'!$Y$19</f>
        <v>31757</v>
      </c>
      <c r="D12" s="31">
        <f>+'Summary Medians'!$AE$19</f>
        <v>29681</v>
      </c>
      <c r="E12" s="31">
        <f>+'Summary Medians'!$AK$19</f>
        <v>21968</v>
      </c>
      <c r="F12" s="31">
        <f>+'Summary Medians'!$AQ$19</f>
        <v>31698</v>
      </c>
      <c r="G12" s="31">
        <f>+'Summary Medians'!$AW$19</f>
        <v>0</v>
      </c>
      <c r="H12" s="31">
        <f>+'Summary Medians'!$BC$19</f>
        <v>26708</v>
      </c>
    </row>
    <row r="13" spans="1:8" ht="12.75" customHeight="1">
      <c r="A13" s="3" t="s">
        <v>420</v>
      </c>
      <c r="B13" s="31">
        <f>+'Summary Medians'!$S$36</f>
        <v>14125.5</v>
      </c>
      <c r="C13" s="31">
        <f>+'Summary Medians'!$Y$36</f>
        <v>26137</v>
      </c>
      <c r="D13" s="31"/>
      <c r="E13" s="31">
        <f>+'Summary Medians'!$AK$36</f>
        <v>14710</v>
      </c>
      <c r="F13" s="31">
        <f>+'Summary Medians'!$AQ$36</f>
        <v>0</v>
      </c>
      <c r="G13" s="31">
        <f>+'Summary Medians'!$AW$36</f>
        <v>0</v>
      </c>
      <c r="H13" s="31">
        <f>+'Summary Medians'!$BC$36</f>
        <v>0</v>
      </c>
    </row>
    <row r="14" spans="1:8" ht="12.75" customHeight="1">
      <c r="A14" s="3" t="s">
        <v>1031</v>
      </c>
      <c r="B14" s="31"/>
      <c r="C14" s="31"/>
      <c r="D14" s="31"/>
      <c r="E14" s="31"/>
      <c r="F14" s="31">
        <f>+'Summary Medians'!$AQ$53</f>
        <v>0</v>
      </c>
      <c r="G14" s="31"/>
      <c r="H14" s="31"/>
    </row>
    <row r="15" spans="1:8" ht="12.75" customHeight="1">
      <c r="A15" s="3" t="s">
        <v>421</v>
      </c>
      <c r="B15" s="31">
        <f>+'Summary Medians'!$S$70</f>
        <v>22189.28</v>
      </c>
      <c r="C15" s="31">
        <f>+'Summary Medians'!$Y$70</f>
        <v>49825.31</v>
      </c>
      <c r="D15" s="31">
        <f>+'Summary Medians'!$AE$70</f>
        <v>42033.29</v>
      </c>
      <c r="E15" s="31">
        <f>+'Summary Medians'!$AK$70</f>
        <v>20731.04</v>
      </c>
      <c r="F15" s="31">
        <f>+'Summary Medians'!$AQ$70</f>
        <v>0</v>
      </c>
      <c r="G15" s="31">
        <f>+'Summary Medians'!$AW$70</f>
        <v>0</v>
      </c>
      <c r="H15" s="31">
        <f>+'Summary Medians'!$BC$70</f>
        <v>34774.08</v>
      </c>
    </row>
    <row r="16" spans="1:8" ht="9" customHeight="1">
      <c r="A16" s="3"/>
      <c r="B16" s="31"/>
      <c r="C16" s="31"/>
      <c r="D16" s="31"/>
      <c r="E16" s="31"/>
      <c r="F16" s="31"/>
      <c r="G16" s="31"/>
      <c r="H16" s="31"/>
    </row>
    <row r="17" spans="1:8" ht="12.75" customHeight="1">
      <c r="A17" s="3" t="s">
        <v>422</v>
      </c>
      <c r="B17" s="31">
        <f>+'Summary Medians'!$S$87</f>
        <v>22638</v>
      </c>
      <c r="C17" s="31">
        <f>+'Summary Medians'!$Y$87</f>
        <v>31562</v>
      </c>
      <c r="D17" s="31">
        <f>+'Summary Medians'!$AE$87</f>
        <v>34034</v>
      </c>
      <c r="E17" s="31">
        <f>+'Summary Medians'!$AK$87</f>
        <v>24698</v>
      </c>
      <c r="F17" s="31">
        <f>+'Summary Medians'!$AQ$87</f>
        <v>0</v>
      </c>
      <c r="G17" s="31">
        <f>+'Summary Medians'!$AW$87</f>
        <v>0</v>
      </c>
      <c r="H17" s="31">
        <f>+'Summary Medians'!$BC$87</f>
        <v>0</v>
      </c>
    </row>
    <row r="18" spans="1:8" ht="12.75" customHeight="1">
      <c r="A18" s="3" t="s">
        <v>423</v>
      </c>
      <c r="B18" s="31">
        <f>+'Summary Medians'!$S$104</f>
        <v>20184</v>
      </c>
      <c r="C18" s="31">
        <f>+'Summary Medians'!$Y$104</f>
        <v>36981</v>
      </c>
      <c r="D18" s="31">
        <f>+'Summary Medians'!$AE$104</f>
        <v>35444</v>
      </c>
      <c r="E18" s="31">
        <f>+'Summary Medians'!$AK$104</f>
        <v>22848</v>
      </c>
      <c r="F18" s="31">
        <f>+'Summary Medians'!$AQ$104</f>
        <v>0</v>
      </c>
      <c r="G18" s="31">
        <f>+'Summary Medians'!$AW$104</f>
        <v>0</v>
      </c>
      <c r="H18" s="31">
        <f>+'Summary Medians'!$BC$104</f>
        <v>0</v>
      </c>
    </row>
    <row r="19" spans="1:8" ht="12.75" customHeight="1">
      <c r="A19" s="3" t="s">
        <v>424</v>
      </c>
      <c r="B19" s="31">
        <f>+'Summary Medians'!$S$121</f>
        <v>15535</v>
      </c>
      <c r="C19" s="31">
        <f>+'Summary Medians'!$Y$121</f>
        <v>24980.5</v>
      </c>
      <c r="D19" s="31">
        <f>+'Summary Medians'!$AE$121</f>
        <v>22268</v>
      </c>
      <c r="E19" s="31">
        <f>+'Summary Medians'!$AK$121</f>
        <v>15476</v>
      </c>
      <c r="F19" s="31">
        <f>+'Summary Medians'!$AQ$121</f>
        <v>0</v>
      </c>
      <c r="G19" s="31">
        <f>+'Summary Medians'!$AW$121</f>
        <v>0</v>
      </c>
      <c r="H19" s="31">
        <f>+'Summary Medians'!$BC$121</f>
        <v>28207</v>
      </c>
    </row>
    <row r="20" spans="1:8" ht="12.75" customHeight="1">
      <c r="A20" s="3" t="s">
        <v>425</v>
      </c>
      <c r="B20" s="31">
        <f>+'Summary Medians'!$S$138</f>
        <v>27272</v>
      </c>
      <c r="C20" s="31">
        <f>+'Summary Medians'!$Y$138</f>
        <v>34864</v>
      </c>
      <c r="D20" s="31">
        <f>+'Summary Medians'!$AE$138</f>
        <v>32993</v>
      </c>
      <c r="E20" s="31">
        <f>+'Summary Medians'!$AK$138</f>
        <v>23023</v>
      </c>
      <c r="F20" s="31">
        <f>+'Summary Medians'!$AQ$138</f>
        <v>0</v>
      </c>
      <c r="G20" s="31">
        <f>+'Summary Medians'!$AW$138</f>
        <v>0</v>
      </c>
      <c r="H20" s="31">
        <f>+'Summary Medians'!$BC$138</f>
        <v>0</v>
      </c>
    </row>
    <row r="21" spans="1:8" ht="9" customHeight="1">
      <c r="A21" s="3"/>
      <c r="B21" s="31"/>
      <c r="C21" s="31"/>
      <c r="D21" s="31"/>
      <c r="E21" s="31"/>
      <c r="F21" s="31"/>
      <c r="G21" s="31"/>
      <c r="H21" s="31"/>
    </row>
    <row r="22" spans="1:8" ht="12.75" customHeight="1">
      <c r="A22" s="3" t="s">
        <v>426</v>
      </c>
      <c r="B22" s="31">
        <f>+'Summary Medians'!$S$155</f>
        <v>12942</v>
      </c>
      <c r="C22" s="31">
        <f>+'Summary Medians'!$Y$155</f>
        <v>13963</v>
      </c>
      <c r="D22" s="31">
        <f>+'Summary Medians'!$AE$155</f>
        <v>12646</v>
      </c>
      <c r="E22" s="31">
        <f>+'Summary Medians'!$AK$155</f>
        <v>13032</v>
      </c>
      <c r="F22" s="31">
        <f>+'Summary Medians'!$AQ$155</f>
        <v>0</v>
      </c>
      <c r="G22" s="31">
        <f>+'Summary Medians'!$AW$155</f>
        <v>0</v>
      </c>
      <c r="H22" s="31">
        <f>+'Summary Medians'!$BC$155</f>
        <v>27792</v>
      </c>
    </row>
    <row r="23" spans="1:8" ht="12.75" customHeight="1">
      <c r="A23" s="3" t="s">
        <v>427</v>
      </c>
      <c r="B23" s="31">
        <f>+'Summary Medians'!$S$172</f>
        <v>19153</v>
      </c>
      <c r="C23" s="31">
        <f>+'Summary Medians'!$Y$172</f>
        <v>32864</v>
      </c>
      <c r="D23" s="31">
        <f>+'Summary Medians'!$AE$172</f>
        <v>29614</v>
      </c>
      <c r="E23" s="31">
        <f>+'Summary Medians'!$AK$172</f>
        <v>25556</v>
      </c>
      <c r="F23" s="31">
        <f>+'Summary Medians'!$AQ$172</f>
        <v>0</v>
      </c>
      <c r="G23" s="31">
        <f>+'Summary Medians'!$AW$172</f>
        <v>0</v>
      </c>
      <c r="H23" s="31">
        <f>+'Summary Medians'!$BC$172</f>
        <v>32208</v>
      </c>
    </row>
    <row r="24" spans="1:8" ht="12.75" customHeight="1">
      <c r="A24" s="3" t="s">
        <v>428</v>
      </c>
      <c r="B24" s="31">
        <f>+'Summary Medians'!$S$189</f>
        <v>19599</v>
      </c>
      <c r="C24" s="31">
        <f>+'Summary Medians'!$Y$189</f>
        <v>37577</v>
      </c>
      <c r="D24" s="31">
        <f>+'Summary Medians'!$AE$189</f>
        <v>32153</v>
      </c>
      <c r="E24" s="31">
        <f>+'Summary Medians'!$AK$189</f>
        <v>16721.5</v>
      </c>
      <c r="F24" s="31">
        <f>+'Summary Medians'!$AQ$189</f>
        <v>21491</v>
      </c>
      <c r="G24" s="31">
        <f>+'Summary Medians'!$AW$189</f>
        <v>30113</v>
      </c>
      <c r="H24" s="31">
        <f>+'Summary Medians'!$BC$189</f>
        <v>26820</v>
      </c>
    </row>
    <row r="25" spans="1:8" ht="12.75" customHeight="1">
      <c r="A25" s="3" t="s">
        <v>429</v>
      </c>
      <c r="B25" s="31">
        <f>+'Summary Medians'!$S$206</f>
        <v>28794</v>
      </c>
      <c r="C25" s="31">
        <f>+'Summary Medians'!$Y$206</f>
        <v>53314</v>
      </c>
      <c r="D25" s="31">
        <f>+'Summary Medians'!$AE$206</f>
        <v>32400</v>
      </c>
      <c r="E25" s="31">
        <f>+'Summary Medians'!$AK$206</f>
        <v>22000</v>
      </c>
      <c r="F25" s="31">
        <f>+'Summary Medians'!$AQ$206</f>
        <v>0</v>
      </c>
      <c r="G25" s="31">
        <f>+'Summary Medians'!$AW$206</f>
        <v>0</v>
      </c>
      <c r="H25" s="31">
        <f>+'Summary Medians'!$BC$206</f>
        <v>0</v>
      </c>
    </row>
    <row r="26" ht="9" customHeight="1">
      <c r="A26" s="3"/>
    </row>
    <row r="27" spans="1:8" ht="12.75" customHeight="1">
      <c r="A27" s="3" t="s">
        <v>430</v>
      </c>
      <c r="B27" s="31">
        <f>+'Summary Medians'!$S$223</f>
        <v>22215.5</v>
      </c>
      <c r="C27" s="31">
        <f>+'Summary Medians'!$Y$223</f>
        <v>33292</v>
      </c>
      <c r="D27" s="31">
        <f>+'Summary Medians'!$AE$223</f>
        <v>31134</v>
      </c>
      <c r="E27" s="31">
        <f>+'Summary Medians'!$AK$223</f>
        <v>22373</v>
      </c>
      <c r="F27" s="31">
        <f>+'Summary Medians'!$AQ$223</f>
        <v>0</v>
      </c>
      <c r="G27" s="31">
        <f>+'Summary Medians'!$AW$223</f>
        <v>0</v>
      </c>
      <c r="H27" s="31">
        <f>+'Summary Medians'!$BC$223</f>
        <v>28395</v>
      </c>
    </row>
    <row r="28" spans="1:8" ht="12.75" customHeight="1">
      <c r="A28" s="3" t="s">
        <v>431</v>
      </c>
      <c r="B28" s="31">
        <f>+'Summary Medians'!$S$240</f>
        <v>18101</v>
      </c>
      <c r="C28" s="31">
        <f>+'Summary Medians'!$Y$240</f>
        <v>22997</v>
      </c>
      <c r="D28" s="31">
        <f>+'Summary Medians'!$AE$240</f>
        <v>21595</v>
      </c>
      <c r="E28" s="31">
        <f>+'Summary Medians'!$AK$240</f>
        <v>16579.5</v>
      </c>
      <c r="F28" s="31">
        <f>+'Summary Medians'!$AQ$240</f>
        <v>17034</v>
      </c>
      <c r="G28" s="31">
        <f>+'Summary Medians'!$AW$240</f>
        <v>0</v>
      </c>
      <c r="H28" s="31">
        <f>+'Summary Medians'!$BC$240</f>
        <v>22514</v>
      </c>
    </row>
    <row r="29" spans="1:8" ht="12.75" customHeight="1">
      <c r="A29" s="3" t="s">
        <v>1037</v>
      </c>
      <c r="B29" s="31">
        <f>+'Summary Medians'!$S$257</f>
        <v>24400</v>
      </c>
      <c r="C29" s="31">
        <f>+'Summary Medians'!$Y$257</f>
        <v>36973.5</v>
      </c>
      <c r="D29" s="31">
        <f>+'Summary Medians'!$AE$257</f>
        <v>35679</v>
      </c>
      <c r="E29" s="31">
        <f>+'Summary Medians'!$AK$257</f>
        <v>24212</v>
      </c>
      <c r="F29" s="31">
        <f>+'Summary Medians'!$AQ$257</f>
        <v>0</v>
      </c>
      <c r="G29" s="31">
        <f>+'Summary Medians'!$AW$257</f>
        <v>0</v>
      </c>
      <c r="H29" s="31">
        <f>+'Summary Medians'!$BC$257</f>
        <v>29139</v>
      </c>
    </row>
    <row r="30" spans="1:8" ht="12.75" customHeight="1">
      <c r="A30" s="10" t="s">
        <v>433</v>
      </c>
      <c r="B30" s="36">
        <f>+'Summary Medians'!$S$274</f>
        <v>19342</v>
      </c>
      <c r="C30" s="36">
        <f>+'Summary Medians'!$Y$274</f>
        <v>36518</v>
      </c>
      <c r="D30" s="36">
        <f>+'Summary Medians'!$AE$274</f>
        <v>24030</v>
      </c>
      <c r="E30" s="36">
        <f>+'Summary Medians'!$AK$274</f>
        <v>20940</v>
      </c>
      <c r="F30" s="36">
        <f>+'Summary Medians'!$AQ$274</f>
        <v>0</v>
      </c>
      <c r="G30" s="36">
        <f>+'Summary Medians'!$AW$274</f>
        <v>40630</v>
      </c>
      <c r="H30" s="36">
        <f>+'Summary Medians'!$BC$274</f>
        <v>0</v>
      </c>
    </row>
    <row r="31" ht="9" customHeight="1">
      <c r="A31" s="20"/>
    </row>
    <row r="32" ht="15.75">
      <c r="A32" s="21" t="s">
        <v>396</v>
      </c>
    </row>
    <row r="33" spans="1:8" ht="33.75" customHeight="1">
      <c r="A33" s="376" t="s">
        <v>1029</v>
      </c>
      <c r="B33" s="376"/>
      <c r="C33" s="376"/>
      <c r="D33" s="376"/>
      <c r="E33" s="376"/>
      <c r="F33" s="376"/>
      <c r="G33" s="376"/>
      <c r="H33" s="376"/>
    </row>
    <row r="34" ht="15.75">
      <c r="H34" s="377" t="s">
        <v>37</v>
      </c>
    </row>
  </sheetData>
  <mergeCells count="1">
    <mergeCell ref="A33:H33"/>
  </mergeCells>
  <printOptions horizontalCentered="1"/>
  <pageMargins left="0.75" right="0.75" top="1" bottom="1" header="0.6" footer="0.5"/>
  <pageSetup horizontalDpi="600" verticalDpi="600" orientation="landscape" r:id="rId1"/>
  <headerFooter alignWithMargins="0">
    <oddHeader>&amp;R&amp;"Arial,Regular"&amp;8SREB-State Data Exchange</oddHeader>
    <oddFooter>&amp;C&amp;"ARIAL,Regular"&amp;10 166</oddFooter>
  </headerFooter>
</worksheet>
</file>

<file path=xl/worksheets/sheet2.xml><?xml version="1.0" encoding="utf-8"?>
<worksheet xmlns="http://schemas.openxmlformats.org/spreadsheetml/2006/main" xmlns:r="http://schemas.openxmlformats.org/officeDocument/2006/relationships">
  <sheetPr>
    <tabColor indexed="17"/>
  </sheetPr>
  <dimension ref="A1:CR293"/>
  <sheetViews>
    <sheetView showGridLines="0" showZeros="0" zoomScale="75" zoomScaleNormal="75" zoomScaleSheetLayoutView="75" workbookViewId="0" topLeftCell="A1">
      <pane xSplit="2" ySplit="2" topLeftCell="K261" activePane="bottomRight" state="frozen"/>
      <selection pane="topLeft" activeCell="A1" sqref="A1"/>
      <selection pane="topRight" activeCell="C1" sqref="C1"/>
      <selection pane="bottomLeft" activeCell="A3" sqref="A3"/>
      <selection pane="bottomRight" activeCell="AE291" sqref="AE291"/>
    </sheetView>
  </sheetViews>
  <sheetFormatPr defaultColWidth="8.796875" defaultRowHeight="15.75" customHeight="1"/>
  <cols>
    <col min="1" max="1" width="4.8984375" style="327" customWidth="1"/>
    <col min="2" max="2" width="13.8984375" style="332" customWidth="1"/>
    <col min="3" max="56" width="6.59765625" style="327" customWidth="1"/>
    <col min="57" max="16384" width="9" style="327" customWidth="1"/>
  </cols>
  <sheetData>
    <row r="1" spans="1:56" s="300" customFormat="1" ht="25.5">
      <c r="A1" s="296" t="s">
        <v>414</v>
      </c>
      <c r="B1" s="329"/>
      <c r="C1" s="298" t="s">
        <v>490</v>
      </c>
      <c r="D1" s="298"/>
      <c r="E1" s="299"/>
      <c r="F1" s="297" t="s">
        <v>491</v>
      </c>
      <c r="G1" s="298"/>
      <c r="H1" s="299"/>
      <c r="I1" s="297" t="s">
        <v>492</v>
      </c>
      <c r="J1" s="298"/>
      <c r="K1" s="299"/>
      <c r="L1" s="297" t="s">
        <v>493</v>
      </c>
      <c r="M1" s="298"/>
      <c r="N1" s="299"/>
      <c r="O1" s="297" t="s">
        <v>494</v>
      </c>
      <c r="P1" s="298"/>
      <c r="Q1" s="299"/>
      <c r="R1" s="297" t="s">
        <v>495</v>
      </c>
      <c r="S1" s="298"/>
      <c r="T1" s="299"/>
      <c r="U1" s="297" t="s">
        <v>496</v>
      </c>
      <c r="V1" s="298"/>
      <c r="W1" s="299"/>
      <c r="X1" s="297" t="s">
        <v>497</v>
      </c>
      <c r="Y1" s="298"/>
      <c r="Z1" s="299"/>
      <c r="AA1" s="297" t="s">
        <v>498</v>
      </c>
      <c r="AB1" s="298"/>
      <c r="AC1" s="299"/>
      <c r="AD1" s="298" t="s">
        <v>499</v>
      </c>
      <c r="AE1" s="298"/>
      <c r="AF1" s="299"/>
      <c r="AG1" s="297" t="s">
        <v>1051</v>
      </c>
      <c r="AH1" s="298"/>
      <c r="AI1" s="299"/>
      <c r="AJ1" s="297" t="s">
        <v>1052</v>
      </c>
      <c r="AK1" s="298"/>
      <c r="AL1" s="299"/>
      <c r="AM1" s="297" t="s">
        <v>1053</v>
      </c>
      <c r="AN1" s="298"/>
      <c r="AO1" s="299"/>
      <c r="AP1" s="297" t="s">
        <v>1054</v>
      </c>
      <c r="AQ1" s="298"/>
      <c r="AR1" s="299"/>
      <c r="AS1" s="297" t="s">
        <v>1048</v>
      </c>
      <c r="AT1" s="298"/>
      <c r="AU1" s="299"/>
      <c r="AV1" s="297" t="s">
        <v>1047</v>
      </c>
      <c r="AW1" s="298"/>
      <c r="AX1" s="299"/>
      <c r="AY1" s="297" t="s">
        <v>1046</v>
      </c>
      <c r="AZ1" s="298"/>
      <c r="BA1" s="299"/>
      <c r="BB1" s="297" t="s">
        <v>1045</v>
      </c>
      <c r="BC1" s="298"/>
      <c r="BD1" s="299"/>
    </row>
    <row r="2" spans="1:56" s="302" customFormat="1" ht="25.5">
      <c r="A2" s="301" t="s">
        <v>951</v>
      </c>
      <c r="B2" s="330" t="s">
        <v>1033</v>
      </c>
      <c r="C2" s="302" t="s">
        <v>487</v>
      </c>
      <c r="D2" s="302" t="s">
        <v>488</v>
      </c>
      <c r="E2" s="303" t="s">
        <v>489</v>
      </c>
      <c r="F2" s="301" t="s">
        <v>487</v>
      </c>
      <c r="G2" s="302" t="s">
        <v>488</v>
      </c>
      <c r="H2" s="303" t="s">
        <v>489</v>
      </c>
      <c r="I2" s="301" t="s">
        <v>487</v>
      </c>
      <c r="J2" s="302" t="s">
        <v>488</v>
      </c>
      <c r="K2" s="303" t="s">
        <v>489</v>
      </c>
      <c r="L2" s="301" t="s">
        <v>487</v>
      </c>
      <c r="M2" s="302" t="s">
        <v>488</v>
      </c>
      <c r="N2" s="303" t="s">
        <v>489</v>
      </c>
      <c r="O2" s="301" t="s">
        <v>487</v>
      </c>
      <c r="P2" s="302" t="s">
        <v>488</v>
      </c>
      <c r="Q2" s="303" t="s">
        <v>489</v>
      </c>
      <c r="R2" s="301" t="s">
        <v>487</v>
      </c>
      <c r="S2" s="302" t="s">
        <v>488</v>
      </c>
      <c r="T2" s="303" t="s">
        <v>489</v>
      </c>
      <c r="U2" s="301" t="s">
        <v>487</v>
      </c>
      <c r="V2" s="302" t="s">
        <v>488</v>
      </c>
      <c r="W2" s="303" t="s">
        <v>489</v>
      </c>
      <c r="X2" s="301" t="s">
        <v>487</v>
      </c>
      <c r="Y2" s="302" t="s">
        <v>488</v>
      </c>
      <c r="Z2" s="303" t="s">
        <v>489</v>
      </c>
      <c r="AA2" s="301" t="s">
        <v>487</v>
      </c>
      <c r="AB2" s="302" t="s">
        <v>488</v>
      </c>
      <c r="AC2" s="303" t="s">
        <v>489</v>
      </c>
      <c r="AD2" s="302" t="s">
        <v>487</v>
      </c>
      <c r="AE2" s="302" t="s">
        <v>488</v>
      </c>
      <c r="AF2" s="303" t="s">
        <v>489</v>
      </c>
      <c r="AG2" s="301" t="s">
        <v>487</v>
      </c>
      <c r="AH2" s="302" t="s">
        <v>488</v>
      </c>
      <c r="AI2" s="303" t="s">
        <v>489</v>
      </c>
      <c r="AJ2" s="301" t="s">
        <v>487</v>
      </c>
      <c r="AK2" s="302" t="s">
        <v>488</v>
      </c>
      <c r="AL2" s="303" t="s">
        <v>489</v>
      </c>
      <c r="AM2" s="301" t="s">
        <v>487</v>
      </c>
      <c r="AN2" s="302" t="s">
        <v>488</v>
      </c>
      <c r="AO2" s="303" t="s">
        <v>489</v>
      </c>
      <c r="AP2" s="301" t="s">
        <v>487</v>
      </c>
      <c r="AQ2" s="302" t="s">
        <v>488</v>
      </c>
      <c r="AR2" s="303" t="s">
        <v>489</v>
      </c>
      <c r="AS2" s="301" t="s">
        <v>487</v>
      </c>
      <c r="AT2" s="302" t="s">
        <v>488</v>
      </c>
      <c r="AU2" s="303" t="s">
        <v>489</v>
      </c>
      <c r="AV2" s="301" t="s">
        <v>487</v>
      </c>
      <c r="AW2" s="302" t="s">
        <v>488</v>
      </c>
      <c r="AX2" s="303" t="s">
        <v>489</v>
      </c>
      <c r="AY2" s="301" t="s">
        <v>487</v>
      </c>
      <c r="AZ2" s="302" t="s">
        <v>488</v>
      </c>
      <c r="BA2" s="303" t="s">
        <v>489</v>
      </c>
      <c r="BB2" s="301" t="s">
        <v>487</v>
      </c>
      <c r="BC2" s="302" t="s">
        <v>488</v>
      </c>
      <c r="BD2" s="303" t="s">
        <v>489</v>
      </c>
    </row>
    <row r="3" spans="1:96" s="300" customFormat="1" ht="15.75" customHeight="1">
      <c r="A3" s="304" t="s">
        <v>950</v>
      </c>
      <c r="B3" s="305" t="s">
        <v>665</v>
      </c>
      <c r="C3" s="311">
        <v>4274</v>
      </c>
      <c r="D3" s="311">
        <v>4662</v>
      </c>
      <c r="E3" s="306">
        <f>IF(C3&gt;0,(((D3-C3)/C3)*100),0)</f>
        <v>9.078146934955546</v>
      </c>
      <c r="F3" s="311">
        <v>11294</v>
      </c>
      <c r="G3" s="311">
        <v>12664</v>
      </c>
      <c r="H3" s="306">
        <f>IF(F3&gt;0,(((G3-F3)/F3)*100),0)</f>
        <v>12.130334690986365</v>
      </c>
      <c r="I3" s="311">
        <v>4134</v>
      </c>
      <c r="J3" s="311">
        <v>4630</v>
      </c>
      <c r="K3" s="306">
        <f>IF(I3&gt;0,(((J3-I3)/I3)*100),0)</f>
        <v>11.998064828253508</v>
      </c>
      <c r="L3" s="311">
        <v>11294</v>
      </c>
      <c r="M3" s="311">
        <v>12664</v>
      </c>
      <c r="N3" s="306">
        <f>IF(L3&gt;0,(((M3-L3)/L3)*100),0)</f>
        <v>12.130334690986365</v>
      </c>
      <c r="O3" s="311"/>
      <c r="P3" s="311"/>
      <c r="Q3" s="306"/>
      <c r="R3" s="310"/>
      <c r="S3" s="311"/>
      <c r="T3" s="306"/>
      <c r="U3" s="310"/>
      <c r="V3" s="311"/>
      <c r="W3" s="306"/>
      <c r="X3" s="310"/>
      <c r="Y3" s="311"/>
      <c r="Z3" s="306"/>
      <c r="AA3" s="310"/>
      <c r="AB3" s="311"/>
      <c r="AC3" s="306"/>
      <c r="AD3" s="310"/>
      <c r="AE3" s="311"/>
      <c r="AF3" s="306"/>
      <c r="AG3" s="310"/>
      <c r="AH3" s="311"/>
      <c r="AI3" s="306"/>
      <c r="AJ3" s="310"/>
      <c r="AK3" s="311"/>
      <c r="AL3" s="306"/>
      <c r="AM3" s="310"/>
      <c r="AN3" s="311"/>
      <c r="AO3" s="306"/>
      <c r="AP3" s="310"/>
      <c r="AQ3" s="311"/>
      <c r="AR3" s="306"/>
      <c r="AS3" s="310"/>
      <c r="AT3" s="311"/>
      <c r="AU3" s="306"/>
      <c r="AV3" s="310"/>
      <c r="AW3" s="311"/>
      <c r="AX3" s="306"/>
      <c r="AY3" s="310"/>
      <c r="AZ3" s="311"/>
      <c r="BA3" s="306"/>
      <c r="BB3" s="310"/>
      <c r="BC3" s="311"/>
      <c r="BD3" s="306"/>
      <c r="BE3" s="312"/>
      <c r="BF3" s="312"/>
      <c r="BG3" s="312"/>
      <c r="BH3" s="312"/>
      <c r="BI3" s="312"/>
      <c r="BJ3" s="312"/>
      <c r="BK3" s="312"/>
      <c r="BL3" s="312"/>
      <c r="BM3" s="312"/>
      <c r="BN3" s="312"/>
      <c r="BO3" s="312"/>
      <c r="BP3" s="312"/>
      <c r="BQ3" s="312"/>
      <c r="BR3" s="312"/>
      <c r="BS3" s="312"/>
      <c r="BT3" s="312"/>
      <c r="BU3" s="312"/>
      <c r="BV3" s="312"/>
      <c r="BW3" s="312"/>
      <c r="BX3" s="312"/>
      <c r="BY3" s="312"/>
      <c r="BZ3" s="312"/>
      <c r="CA3" s="312"/>
      <c r="CB3" s="312"/>
      <c r="CC3" s="312"/>
      <c r="CD3" s="312"/>
      <c r="CE3" s="312"/>
      <c r="CF3" s="312"/>
      <c r="CG3" s="312"/>
      <c r="CH3" s="312"/>
      <c r="CI3" s="312"/>
      <c r="CJ3" s="312"/>
      <c r="CK3" s="312"/>
      <c r="CL3" s="312"/>
      <c r="CM3" s="312"/>
      <c r="CN3" s="312"/>
      <c r="CO3" s="312"/>
      <c r="CP3" s="312"/>
      <c r="CQ3" s="312"/>
      <c r="CR3" s="312"/>
    </row>
    <row r="4" spans="1:96" s="300" customFormat="1" ht="15.75" customHeight="1">
      <c r="A4" s="313"/>
      <c r="B4" s="305" t="s">
        <v>666</v>
      </c>
      <c r="C4" s="311">
        <v>4126</v>
      </c>
      <c r="D4" s="311">
        <v>4516</v>
      </c>
      <c r="E4" s="306">
        <f aca="true" t="shared" si="0" ref="E4:E52">IF(C4&gt;0,(((D4-C4)/C4)*100),0)</f>
        <v>9.452253999030539</v>
      </c>
      <c r="F4" s="311">
        <v>8702</v>
      </c>
      <c r="G4" s="311">
        <v>9518</v>
      </c>
      <c r="H4" s="306">
        <f aca="true" t="shared" si="1" ref="H4:H52">IF(F4&gt;0,(((G4-F4)/F4)*100),0)</f>
        <v>9.377154677085727</v>
      </c>
      <c r="I4" s="311">
        <v>5168</v>
      </c>
      <c r="J4" s="311">
        <v>5646</v>
      </c>
      <c r="K4" s="306">
        <f>IF(I4&gt;0,(((J4-I4)/I4)*100),0)</f>
        <v>9.24922600619195</v>
      </c>
      <c r="L4" s="311">
        <v>10620</v>
      </c>
      <c r="M4" s="311">
        <v>11608</v>
      </c>
      <c r="N4" s="306">
        <f>IF(L4&gt;0,(((M4-L4)/L4)*100),0)</f>
        <v>9.303201506591337</v>
      </c>
      <c r="O4" s="311"/>
      <c r="P4" s="311"/>
      <c r="Q4" s="306"/>
      <c r="R4" s="310"/>
      <c r="S4" s="311"/>
      <c r="T4" s="306"/>
      <c r="U4" s="310"/>
      <c r="V4" s="311"/>
      <c r="W4" s="306"/>
      <c r="X4" s="310"/>
      <c r="Y4" s="311"/>
      <c r="Z4" s="306"/>
      <c r="AA4" s="310"/>
      <c r="AB4" s="311"/>
      <c r="AC4" s="306"/>
      <c r="AD4" s="310"/>
      <c r="AE4" s="311"/>
      <c r="AF4" s="306"/>
      <c r="AG4" s="310"/>
      <c r="AH4" s="311"/>
      <c r="AI4" s="306"/>
      <c r="AJ4" s="310"/>
      <c r="AK4" s="311"/>
      <c r="AL4" s="306"/>
      <c r="AM4" s="310"/>
      <c r="AN4" s="311"/>
      <c r="AO4" s="306"/>
      <c r="AP4" s="310"/>
      <c r="AQ4" s="311"/>
      <c r="AR4" s="306"/>
      <c r="AS4" s="310"/>
      <c r="AT4" s="311"/>
      <c r="AU4" s="306"/>
      <c r="AV4" s="310"/>
      <c r="AW4" s="311"/>
      <c r="AX4" s="306"/>
      <c r="AY4" s="310"/>
      <c r="AZ4" s="311"/>
      <c r="BA4" s="306"/>
      <c r="BB4" s="310"/>
      <c r="BC4" s="311"/>
      <c r="BD4" s="306"/>
      <c r="BE4" s="312"/>
      <c r="BF4" s="312"/>
      <c r="BG4" s="312"/>
      <c r="BH4" s="312"/>
      <c r="BI4" s="312"/>
      <c r="BJ4" s="312"/>
      <c r="BK4" s="312"/>
      <c r="BL4" s="312"/>
      <c r="BM4" s="312"/>
      <c r="BN4" s="312"/>
      <c r="BO4" s="312"/>
      <c r="BP4" s="312"/>
      <c r="BQ4" s="312"/>
      <c r="BR4" s="312"/>
      <c r="BS4" s="312"/>
      <c r="BT4" s="312"/>
      <c r="BU4" s="312"/>
      <c r="BV4" s="312"/>
      <c r="BW4" s="312"/>
      <c r="BX4" s="312"/>
      <c r="BY4" s="312"/>
      <c r="BZ4" s="312"/>
      <c r="CA4" s="312"/>
      <c r="CB4" s="312"/>
      <c r="CC4" s="312"/>
      <c r="CD4" s="312"/>
      <c r="CE4" s="312"/>
      <c r="CF4" s="312"/>
      <c r="CG4" s="312"/>
      <c r="CH4" s="312"/>
      <c r="CI4" s="312"/>
      <c r="CJ4" s="312"/>
      <c r="CK4" s="312"/>
      <c r="CL4" s="312"/>
      <c r="CM4" s="312"/>
      <c r="CN4" s="312"/>
      <c r="CO4" s="312"/>
      <c r="CP4" s="312"/>
      <c r="CQ4" s="312"/>
      <c r="CR4" s="312"/>
    </row>
    <row r="5" spans="1:96" s="300" customFormat="1" ht="15.75" customHeight="1">
      <c r="A5" s="313"/>
      <c r="B5" s="305" t="s">
        <v>667</v>
      </c>
      <c r="C5" s="311">
        <v>3770</v>
      </c>
      <c r="D5" s="311">
        <v>4290</v>
      </c>
      <c r="E5" s="306">
        <f t="shared" si="0"/>
        <v>13.793103448275861</v>
      </c>
      <c r="F5" s="311">
        <v>7160</v>
      </c>
      <c r="G5" s="311">
        <v>8100</v>
      </c>
      <c r="H5" s="306">
        <f t="shared" si="1"/>
        <v>13.128491620111731</v>
      </c>
      <c r="I5" s="311">
        <v>3956</v>
      </c>
      <c r="J5" s="311">
        <v>4488</v>
      </c>
      <c r="K5" s="306">
        <f>IF(I5&gt;0,(((J5-I5)/I5)*100),0)</f>
        <v>13.447927199191101</v>
      </c>
      <c r="L5" s="311">
        <v>7532</v>
      </c>
      <c r="M5" s="311">
        <v>8496</v>
      </c>
      <c r="N5" s="306">
        <f>IF(L5&gt;0,(((M5-L5)/L5)*100),0)</f>
        <v>12.798725438130642</v>
      </c>
      <c r="O5" s="311"/>
      <c r="P5" s="311"/>
      <c r="Q5" s="306"/>
      <c r="R5" s="310"/>
      <c r="S5" s="311"/>
      <c r="T5" s="306"/>
      <c r="U5" s="310"/>
      <c r="V5" s="311"/>
      <c r="W5" s="306"/>
      <c r="X5" s="310"/>
      <c r="Y5" s="311"/>
      <c r="Z5" s="306"/>
      <c r="AA5" s="310"/>
      <c r="AB5" s="311"/>
      <c r="AC5" s="306"/>
      <c r="AD5" s="310"/>
      <c r="AE5" s="311"/>
      <c r="AF5" s="306"/>
      <c r="AG5" s="310"/>
      <c r="AH5" s="311"/>
      <c r="AI5" s="306"/>
      <c r="AJ5" s="310"/>
      <c r="AK5" s="311"/>
      <c r="AL5" s="306"/>
      <c r="AM5" s="310"/>
      <c r="AN5" s="311"/>
      <c r="AO5" s="306"/>
      <c r="AP5" s="310"/>
      <c r="AQ5" s="311"/>
      <c r="AR5" s="306"/>
      <c r="AS5" s="310"/>
      <c r="AT5" s="311"/>
      <c r="AU5" s="306"/>
      <c r="AV5" s="310"/>
      <c r="AW5" s="311"/>
      <c r="AX5" s="306"/>
      <c r="AY5" s="310"/>
      <c r="AZ5" s="311"/>
      <c r="BA5" s="306"/>
      <c r="BB5" s="310"/>
      <c r="BC5" s="311"/>
      <c r="BD5" s="306"/>
      <c r="BE5" s="312"/>
      <c r="BF5" s="312"/>
      <c r="BG5" s="312"/>
      <c r="BH5" s="312"/>
      <c r="BI5" s="312"/>
      <c r="BJ5" s="312"/>
      <c r="BK5" s="312"/>
      <c r="BL5" s="312"/>
      <c r="BM5" s="312"/>
      <c r="BN5" s="312"/>
      <c r="BO5" s="312"/>
      <c r="BP5" s="312"/>
      <c r="BQ5" s="312"/>
      <c r="BR5" s="312"/>
      <c r="BS5" s="312"/>
      <c r="BT5" s="312"/>
      <c r="BU5" s="312"/>
      <c r="BV5" s="312"/>
      <c r="BW5" s="312"/>
      <c r="BX5" s="312"/>
      <c r="BY5" s="312"/>
      <c r="BZ5" s="312"/>
      <c r="CA5" s="312"/>
      <c r="CB5" s="312"/>
      <c r="CC5" s="312"/>
      <c r="CD5" s="312"/>
      <c r="CE5" s="312"/>
      <c r="CF5" s="312"/>
      <c r="CG5" s="312"/>
      <c r="CH5" s="312"/>
      <c r="CI5" s="312"/>
      <c r="CJ5" s="312"/>
      <c r="CK5" s="312"/>
      <c r="CL5" s="312"/>
      <c r="CM5" s="312"/>
      <c r="CN5" s="312"/>
      <c r="CO5" s="312"/>
      <c r="CP5" s="312"/>
      <c r="CQ5" s="312"/>
      <c r="CR5" s="312"/>
    </row>
    <row r="6" spans="1:96" s="300" customFormat="1" ht="15.75" customHeight="1">
      <c r="A6" s="313"/>
      <c r="B6" s="305" t="s">
        <v>668</v>
      </c>
      <c r="C6" s="311">
        <v>3771</v>
      </c>
      <c r="D6" s="311">
        <v>4129</v>
      </c>
      <c r="E6" s="306">
        <f t="shared" si="0"/>
        <v>9.493503049588968</v>
      </c>
      <c r="F6" s="311">
        <v>7286</v>
      </c>
      <c r="G6" s="311">
        <v>8014</v>
      </c>
      <c r="H6" s="306">
        <f t="shared" si="1"/>
        <v>9.9917650288224</v>
      </c>
      <c r="I6" s="311">
        <v>4061</v>
      </c>
      <c r="J6" s="311">
        <v>4457</v>
      </c>
      <c r="K6" s="306">
        <f>IF(I6&gt;0,(((J6-I6)/I6)*100),0)</f>
        <v>9.751292785028317</v>
      </c>
      <c r="L6" s="311">
        <v>8148</v>
      </c>
      <c r="M6" s="311">
        <v>8964</v>
      </c>
      <c r="N6" s="306">
        <f>IF(L6&gt;0,(((M6-L6)/L6)*100),0)</f>
        <v>10.014727540500736</v>
      </c>
      <c r="O6" s="311"/>
      <c r="P6" s="311"/>
      <c r="Q6" s="306"/>
      <c r="R6" s="310"/>
      <c r="S6" s="311"/>
      <c r="T6" s="306"/>
      <c r="U6" s="310"/>
      <c r="V6" s="311"/>
      <c r="W6" s="306"/>
      <c r="X6" s="310"/>
      <c r="Y6" s="311"/>
      <c r="Z6" s="306"/>
      <c r="AA6" s="310"/>
      <c r="AB6" s="311"/>
      <c r="AC6" s="306"/>
      <c r="AD6" s="310"/>
      <c r="AE6" s="311"/>
      <c r="AF6" s="306"/>
      <c r="AG6" s="310"/>
      <c r="AH6" s="311"/>
      <c r="AI6" s="306"/>
      <c r="AJ6" s="310"/>
      <c r="AK6" s="311"/>
      <c r="AL6" s="306"/>
      <c r="AM6" s="310"/>
      <c r="AN6" s="311"/>
      <c r="AO6" s="306"/>
      <c r="AP6" s="310"/>
      <c r="AQ6" s="311"/>
      <c r="AR6" s="306"/>
      <c r="AS6" s="310"/>
      <c r="AT6" s="311"/>
      <c r="AU6" s="306"/>
      <c r="AV6" s="310"/>
      <c r="AW6" s="311"/>
      <c r="AX6" s="306"/>
      <c r="AY6" s="310"/>
      <c r="AZ6" s="311"/>
      <c r="BA6" s="306"/>
      <c r="BB6" s="310"/>
      <c r="BC6" s="311"/>
      <c r="BD6" s="306"/>
      <c r="BE6" s="312"/>
      <c r="BF6" s="312"/>
      <c r="BG6" s="312"/>
      <c r="BH6" s="312"/>
      <c r="BI6" s="312"/>
      <c r="BJ6" s="312"/>
      <c r="BK6" s="312"/>
      <c r="BL6" s="312"/>
      <c r="BM6" s="312"/>
      <c r="BN6" s="312"/>
      <c r="BO6" s="312"/>
      <c r="BP6" s="312"/>
      <c r="BQ6" s="312"/>
      <c r="BR6" s="312"/>
      <c r="BS6" s="312"/>
      <c r="BT6" s="312"/>
      <c r="BU6" s="312"/>
      <c r="BV6" s="312"/>
      <c r="BW6" s="312"/>
      <c r="BX6" s="312"/>
      <c r="BY6" s="312"/>
      <c r="BZ6" s="312"/>
      <c r="CA6" s="312"/>
      <c r="CB6" s="312"/>
      <c r="CC6" s="312"/>
      <c r="CD6" s="312"/>
      <c r="CE6" s="312"/>
      <c r="CF6" s="312"/>
      <c r="CG6" s="312"/>
      <c r="CH6" s="312"/>
      <c r="CI6" s="312"/>
      <c r="CJ6" s="312"/>
      <c r="CK6" s="312"/>
      <c r="CL6" s="312"/>
      <c r="CM6" s="312"/>
      <c r="CN6" s="312"/>
      <c r="CO6" s="312"/>
      <c r="CP6" s="312"/>
      <c r="CQ6" s="312"/>
      <c r="CR6" s="312"/>
    </row>
    <row r="7" spans="1:96" s="300" customFormat="1" ht="15.75" customHeight="1">
      <c r="A7" s="313"/>
      <c r="B7" s="305" t="s">
        <v>669</v>
      </c>
      <c r="C7" s="311">
        <v>3776</v>
      </c>
      <c r="D7" s="311">
        <v>4179</v>
      </c>
      <c r="E7" s="306">
        <f t="shared" si="0"/>
        <v>10.672669491525424</v>
      </c>
      <c r="F7" s="311">
        <v>7251</v>
      </c>
      <c r="G7" s="311">
        <v>8017</v>
      </c>
      <c r="H7" s="306">
        <f t="shared" si="1"/>
        <v>10.56406012963729</v>
      </c>
      <c r="I7" s="311">
        <v>4141</v>
      </c>
      <c r="J7" s="311">
        <v>4464</v>
      </c>
      <c r="K7" s="306">
        <f>IF(I7&gt;0,(((J7-I7)/I7)*100),0)</f>
        <v>7.800048297512678</v>
      </c>
      <c r="L7" s="311">
        <v>7993</v>
      </c>
      <c r="M7" s="311">
        <v>8712</v>
      </c>
      <c r="N7" s="306">
        <f>IF(L7&gt;0,(((M7-L7)/L7)*100),0)</f>
        <v>8.995370949580883</v>
      </c>
      <c r="O7" s="311"/>
      <c r="P7" s="311"/>
      <c r="Q7" s="306"/>
      <c r="R7" s="310"/>
      <c r="S7" s="311"/>
      <c r="T7" s="306"/>
      <c r="U7" s="310"/>
      <c r="V7" s="311"/>
      <c r="W7" s="306"/>
      <c r="X7" s="310"/>
      <c r="Y7" s="311"/>
      <c r="Z7" s="306"/>
      <c r="AA7" s="310"/>
      <c r="AB7" s="311"/>
      <c r="AC7" s="306"/>
      <c r="AD7" s="310"/>
      <c r="AE7" s="311"/>
      <c r="AF7" s="306"/>
      <c r="AG7" s="310"/>
      <c r="AH7" s="311"/>
      <c r="AI7" s="306"/>
      <c r="AJ7" s="310"/>
      <c r="AK7" s="311"/>
      <c r="AL7" s="306"/>
      <c r="AM7" s="310"/>
      <c r="AN7" s="311"/>
      <c r="AO7" s="306"/>
      <c r="AP7" s="310"/>
      <c r="AQ7" s="311"/>
      <c r="AR7" s="306"/>
      <c r="AS7" s="310"/>
      <c r="AT7" s="311"/>
      <c r="AU7" s="306"/>
      <c r="AV7" s="310"/>
      <c r="AW7" s="311"/>
      <c r="AX7" s="306"/>
      <c r="AY7" s="310"/>
      <c r="AZ7" s="311"/>
      <c r="BA7" s="306"/>
      <c r="BB7" s="310"/>
      <c r="BC7" s="311"/>
      <c r="BD7" s="306"/>
      <c r="BE7" s="312"/>
      <c r="BF7" s="312"/>
      <c r="BG7" s="312"/>
      <c r="BH7" s="312"/>
      <c r="BI7" s="312"/>
      <c r="BJ7" s="312"/>
      <c r="BK7" s="312"/>
      <c r="BL7" s="312"/>
      <c r="BM7" s="312"/>
      <c r="BN7" s="312"/>
      <c r="BO7" s="312"/>
      <c r="BP7" s="312"/>
      <c r="BQ7" s="312"/>
      <c r="BR7" s="312"/>
      <c r="BS7" s="312"/>
      <c r="BT7" s="312"/>
      <c r="BU7" s="312"/>
      <c r="BV7" s="312"/>
      <c r="BW7" s="312"/>
      <c r="BX7" s="312"/>
      <c r="BY7" s="312"/>
      <c r="BZ7" s="312"/>
      <c r="CA7" s="312"/>
      <c r="CB7" s="312"/>
      <c r="CC7" s="312"/>
      <c r="CD7" s="312"/>
      <c r="CE7" s="312"/>
      <c r="CF7" s="312"/>
      <c r="CG7" s="312"/>
      <c r="CH7" s="312"/>
      <c r="CI7" s="312"/>
      <c r="CJ7" s="312"/>
      <c r="CK7" s="312"/>
      <c r="CL7" s="312"/>
      <c r="CM7" s="312"/>
      <c r="CN7" s="312"/>
      <c r="CO7" s="312"/>
      <c r="CP7" s="312"/>
      <c r="CQ7" s="312"/>
      <c r="CR7" s="312"/>
    </row>
    <row r="8" spans="1:96" s="300" customFormat="1" ht="15.75" customHeight="1">
      <c r="A8" s="313"/>
      <c r="B8" s="305" t="s">
        <v>670</v>
      </c>
      <c r="C8" s="311">
        <v>3570</v>
      </c>
      <c r="D8" s="311">
        <v>3870</v>
      </c>
      <c r="E8" s="306">
        <f t="shared" si="0"/>
        <v>8.403361344537815</v>
      </c>
      <c r="F8" s="310">
        <v>6720</v>
      </c>
      <c r="G8" s="311">
        <v>7170</v>
      </c>
      <c r="H8" s="306">
        <f t="shared" si="1"/>
        <v>6.696428571428571</v>
      </c>
      <c r="I8" s="310"/>
      <c r="J8" s="311" t="s">
        <v>595</v>
      </c>
      <c r="K8" s="306"/>
      <c r="L8" s="310"/>
      <c r="M8" s="311"/>
      <c r="N8" s="306"/>
      <c r="O8" s="310"/>
      <c r="P8" s="311"/>
      <c r="Q8" s="306"/>
      <c r="R8" s="310"/>
      <c r="S8" s="311"/>
      <c r="T8" s="306"/>
      <c r="U8" s="310"/>
      <c r="V8" s="311"/>
      <c r="W8" s="306"/>
      <c r="X8" s="310"/>
      <c r="Y8" s="311"/>
      <c r="Z8" s="306"/>
      <c r="AA8" s="310"/>
      <c r="AB8" s="311"/>
      <c r="AC8" s="306"/>
      <c r="AD8" s="310"/>
      <c r="AE8" s="311"/>
      <c r="AF8" s="306"/>
      <c r="AG8" s="310"/>
      <c r="AH8" s="311"/>
      <c r="AI8" s="306"/>
      <c r="AJ8" s="310"/>
      <c r="AK8" s="311"/>
      <c r="AL8" s="306"/>
      <c r="AM8" s="310"/>
      <c r="AN8" s="311"/>
      <c r="AO8" s="306"/>
      <c r="AP8" s="310"/>
      <c r="AQ8" s="311"/>
      <c r="AR8" s="306"/>
      <c r="AS8" s="310"/>
      <c r="AT8" s="311"/>
      <c r="AU8" s="306"/>
      <c r="AV8" s="310"/>
      <c r="AW8" s="311"/>
      <c r="AX8" s="306"/>
      <c r="AY8" s="310"/>
      <c r="AZ8" s="311"/>
      <c r="BA8" s="306"/>
      <c r="BB8" s="310"/>
      <c r="BC8" s="311"/>
      <c r="BD8" s="306"/>
      <c r="BE8" s="312"/>
      <c r="BF8" s="312"/>
      <c r="BG8" s="312"/>
      <c r="BH8" s="312"/>
      <c r="BI8" s="312"/>
      <c r="BJ8" s="312"/>
      <c r="BK8" s="312"/>
      <c r="BL8" s="312"/>
      <c r="BM8" s="312"/>
      <c r="BN8" s="312"/>
      <c r="BO8" s="312"/>
      <c r="BP8" s="312"/>
      <c r="BQ8" s="312"/>
      <c r="BR8" s="312"/>
      <c r="BS8" s="312"/>
      <c r="BT8" s="312"/>
      <c r="BU8" s="312"/>
      <c r="BV8" s="312"/>
      <c r="BW8" s="312"/>
      <c r="BX8" s="312"/>
      <c r="BY8" s="312"/>
      <c r="BZ8" s="312"/>
      <c r="CA8" s="312"/>
      <c r="CB8" s="312"/>
      <c r="CC8" s="312"/>
      <c r="CD8" s="312"/>
      <c r="CE8" s="312"/>
      <c r="CF8" s="312"/>
      <c r="CG8" s="312"/>
      <c r="CH8" s="312"/>
      <c r="CI8" s="312"/>
      <c r="CJ8" s="312"/>
      <c r="CK8" s="312"/>
      <c r="CL8" s="312"/>
      <c r="CM8" s="312"/>
      <c r="CN8" s="312"/>
      <c r="CO8" s="312"/>
      <c r="CP8" s="312"/>
      <c r="CQ8" s="312"/>
      <c r="CR8" s="312"/>
    </row>
    <row r="9" spans="1:96" s="300" customFormat="1" ht="15.75" customHeight="1">
      <c r="A9" s="313"/>
      <c r="B9" s="305" t="s">
        <v>1041</v>
      </c>
      <c r="C9" s="311">
        <v>3842</v>
      </c>
      <c r="D9" s="311">
        <v>4243</v>
      </c>
      <c r="E9" s="306">
        <f t="shared" si="0"/>
        <v>10.437272254034358</v>
      </c>
      <c r="F9" s="310">
        <v>7372</v>
      </c>
      <c r="G9" s="311">
        <v>8090</v>
      </c>
      <c r="H9" s="306">
        <f t="shared" si="1"/>
        <v>9.739555073250136</v>
      </c>
      <c r="I9" s="310">
        <v>4128</v>
      </c>
      <c r="J9" s="311">
        <v>4512</v>
      </c>
      <c r="K9" s="306">
        <f>IF(I9&gt;0,(((J9-I9)/I9)*100),0)</f>
        <v>9.30232558139535</v>
      </c>
      <c r="L9" s="310">
        <v>8256</v>
      </c>
      <c r="M9" s="311">
        <v>9098</v>
      </c>
      <c r="N9" s="306">
        <f>IF(L9&gt;0,(((M9-L9)/L9)*100),0)</f>
        <v>10.198643410852712</v>
      </c>
      <c r="O9" s="310"/>
      <c r="P9" s="311"/>
      <c r="Q9" s="306"/>
      <c r="R9" s="310"/>
      <c r="S9" s="311"/>
      <c r="T9" s="306"/>
      <c r="U9" s="310"/>
      <c r="V9" s="311"/>
      <c r="W9" s="306"/>
      <c r="X9" s="310"/>
      <c r="Y9" s="311"/>
      <c r="Z9" s="306"/>
      <c r="AA9" s="310"/>
      <c r="AB9" s="311"/>
      <c r="AC9" s="306"/>
      <c r="AD9" s="310"/>
      <c r="AE9" s="311"/>
      <c r="AF9" s="306"/>
      <c r="AG9" s="310"/>
      <c r="AH9" s="311"/>
      <c r="AI9" s="306"/>
      <c r="AJ9" s="310"/>
      <c r="AK9" s="311"/>
      <c r="AL9" s="306"/>
      <c r="AM9" s="310"/>
      <c r="AN9" s="311"/>
      <c r="AO9" s="306"/>
      <c r="AP9" s="310"/>
      <c r="AQ9" s="311"/>
      <c r="AR9" s="306"/>
      <c r="AS9" s="310"/>
      <c r="AT9" s="311"/>
      <c r="AU9" s="306"/>
      <c r="AV9" s="310"/>
      <c r="AW9" s="311"/>
      <c r="AX9" s="306"/>
      <c r="AY9" s="310"/>
      <c r="AZ9" s="311"/>
      <c r="BA9" s="306"/>
      <c r="BB9" s="310"/>
      <c r="BC9" s="311"/>
      <c r="BD9" s="306"/>
      <c r="BE9" s="312"/>
      <c r="BF9" s="312"/>
      <c r="BG9" s="312"/>
      <c r="BH9" s="312"/>
      <c r="BI9" s="312"/>
      <c r="BJ9" s="312"/>
      <c r="BK9" s="312"/>
      <c r="BL9" s="312"/>
      <c r="BM9" s="312"/>
      <c r="BN9" s="312"/>
      <c r="BO9" s="312"/>
      <c r="BP9" s="312"/>
      <c r="BQ9" s="312"/>
      <c r="BR9" s="312"/>
      <c r="BS9" s="312"/>
      <c r="BT9" s="312"/>
      <c r="BU9" s="312"/>
      <c r="BV9" s="312"/>
      <c r="BW9" s="312"/>
      <c r="BX9" s="312"/>
      <c r="BY9" s="312"/>
      <c r="BZ9" s="312"/>
      <c r="CA9" s="312"/>
      <c r="CB9" s="312"/>
      <c r="CC9" s="312"/>
      <c r="CD9" s="312"/>
      <c r="CE9" s="312"/>
      <c r="CF9" s="312"/>
      <c r="CG9" s="312"/>
      <c r="CH9" s="312"/>
      <c r="CI9" s="312"/>
      <c r="CJ9" s="312"/>
      <c r="CK9" s="312"/>
      <c r="CL9" s="312"/>
      <c r="CM9" s="312"/>
      <c r="CN9" s="312"/>
      <c r="CO9" s="312"/>
      <c r="CP9" s="312"/>
      <c r="CQ9" s="312"/>
      <c r="CR9" s="312"/>
    </row>
    <row r="10" spans="1:96" s="300" customFormat="1" ht="15.75" customHeight="1">
      <c r="A10" s="313"/>
      <c r="B10" s="305" t="s">
        <v>671</v>
      </c>
      <c r="C10" s="311"/>
      <c r="D10" s="311"/>
      <c r="E10" s="306">
        <f t="shared" si="0"/>
        <v>0</v>
      </c>
      <c r="F10" s="310"/>
      <c r="G10" s="311"/>
      <c r="H10" s="306">
        <f t="shared" si="1"/>
        <v>0</v>
      </c>
      <c r="I10" s="310"/>
      <c r="J10" s="311"/>
      <c r="K10" s="306"/>
      <c r="L10" s="310"/>
      <c r="M10" s="311"/>
      <c r="N10" s="306"/>
      <c r="O10" s="310"/>
      <c r="P10" s="311"/>
      <c r="Q10" s="306"/>
      <c r="R10" s="310"/>
      <c r="S10" s="311"/>
      <c r="T10" s="306"/>
      <c r="U10" s="310"/>
      <c r="V10" s="311"/>
      <c r="W10" s="306"/>
      <c r="X10" s="310"/>
      <c r="Y10" s="311"/>
      <c r="Z10" s="306"/>
      <c r="AA10" s="310"/>
      <c r="AB10" s="311"/>
      <c r="AC10" s="306"/>
      <c r="AD10" s="310"/>
      <c r="AE10" s="311"/>
      <c r="AF10" s="306"/>
      <c r="AG10" s="310"/>
      <c r="AH10" s="311"/>
      <c r="AI10" s="306"/>
      <c r="AJ10" s="310"/>
      <c r="AK10" s="311"/>
      <c r="AL10" s="306"/>
      <c r="AM10" s="310"/>
      <c r="AN10" s="311"/>
      <c r="AO10" s="306"/>
      <c r="AP10" s="310"/>
      <c r="AQ10" s="311"/>
      <c r="AR10" s="306"/>
      <c r="AS10" s="310"/>
      <c r="AT10" s="311"/>
      <c r="AU10" s="306"/>
      <c r="AV10" s="310"/>
      <c r="AW10" s="311"/>
      <c r="AX10" s="306"/>
      <c r="AY10" s="310"/>
      <c r="AZ10" s="311"/>
      <c r="BA10" s="306"/>
      <c r="BB10" s="310"/>
      <c r="BC10" s="311"/>
      <c r="BD10" s="306"/>
      <c r="BE10" s="312"/>
      <c r="BF10" s="312"/>
      <c r="BG10" s="312"/>
      <c r="BH10" s="312"/>
      <c r="BI10" s="312"/>
      <c r="BJ10" s="312"/>
      <c r="BK10" s="312"/>
      <c r="BL10" s="312"/>
      <c r="BM10" s="312"/>
      <c r="BN10" s="312"/>
      <c r="BO10" s="312"/>
      <c r="BP10" s="312"/>
      <c r="BQ10" s="312"/>
      <c r="BR10" s="312"/>
      <c r="BS10" s="312"/>
      <c r="BT10" s="312"/>
      <c r="BU10" s="312"/>
      <c r="BV10" s="312"/>
      <c r="BW10" s="312"/>
      <c r="BX10" s="312"/>
      <c r="BY10" s="312"/>
      <c r="BZ10" s="312"/>
      <c r="CA10" s="312"/>
      <c r="CB10" s="312"/>
      <c r="CC10" s="312"/>
      <c r="CD10" s="312"/>
      <c r="CE10" s="312"/>
      <c r="CF10" s="312"/>
      <c r="CG10" s="312"/>
      <c r="CH10" s="312"/>
      <c r="CI10" s="312"/>
      <c r="CJ10" s="312"/>
      <c r="CK10" s="312"/>
      <c r="CL10" s="312"/>
      <c r="CM10" s="312"/>
      <c r="CN10" s="312"/>
      <c r="CO10" s="312"/>
      <c r="CP10" s="312"/>
      <c r="CQ10" s="312"/>
      <c r="CR10" s="312"/>
    </row>
    <row r="11" spans="1:96" s="300" customFormat="1" ht="15.75" customHeight="1">
      <c r="A11" s="313"/>
      <c r="B11" s="305" t="s">
        <v>672</v>
      </c>
      <c r="C11" s="311">
        <v>2520</v>
      </c>
      <c r="D11" s="311">
        <v>2700</v>
      </c>
      <c r="E11" s="306">
        <f t="shared" si="0"/>
        <v>7.142857142857142</v>
      </c>
      <c r="F11" s="310">
        <v>4560</v>
      </c>
      <c r="G11" s="311">
        <v>4830</v>
      </c>
      <c r="H11" s="306">
        <f t="shared" si="1"/>
        <v>5.921052631578947</v>
      </c>
      <c r="I11" s="310">
        <v>0</v>
      </c>
      <c r="J11" s="311">
        <v>0</v>
      </c>
      <c r="K11" s="306"/>
      <c r="L11" s="310">
        <v>0</v>
      </c>
      <c r="M11" s="311">
        <v>0</v>
      </c>
      <c r="N11" s="306"/>
      <c r="O11" s="310"/>
      <c r="P11" s="311"/>
      <c r="Q11" s="306"/>
      <c r="R11" s="310"/>
      <c r="S11" s="311"/>
      <c r="T11" s="306"/>
      <c r="U11" s="310"/>
      <c r="V11" s="311"/>
      <c r="W11" s="306"/>
      <c r="X11" s="310"/>
      <c r="Y11" s="311"/>
      <c r="Z11" s="306"/>
      <c r="AA11" s="310"/>
      <c r="AB11" s="311"/>
      <c r="AC11" s="306"/>
      <c r="AD11" s="310"/>
      <c r="AE11" s="311"/>
      <c r="AF11" s="306"/>
      <c r="AG11" s="310"/>
      <c r="AH11" s="311"/>
      <c r="AI11" s="306"/>
      <c r="AJ11" s="310"/>
      <c r="AK11" s="311"/>
      <c r="AL11" s="306"/>
      <c r="AM11" s="310"/>
      <c r="AN11" s="311"/>
      <c r="AO11" s="306"/>
      <c r="AP11" s="310"/>
      <c r="AQ11" s="311"/>
      <c r="AR11" s="306"/>
      <c r="AS11" s="310"/>
      <c r="AT11" s="311"/>
      <c r="AU11" s="306"/>
      <c r="AV11" s="310"/>
      <c r="AW11" s="311"/>
      <c r="AX11" s="306"/>
      <c r="AY11" s="310"/>
      <c r="AZ11" s="311"/>
      <c r="BA11" s="306"/>
      <c r="BB11" s="310"/>
      <c r="BC11" s="311"/>
      <c r="BD11" s="306"/>
      <c r="BE11" s="312"/>
      <c r="BF11" s="312"/>
      <c r="BG11" s="312"/>
      <c r="BH11" s="312"/>
      <c r="BI11" s="312"/>
      <c r="BJ11" s="312"/>
      <c r="BK11" s="312"/>
      <c r="BL11" s="312"/>
      <c r="BM11" s="312"/>
      <c r="BN11" s="312"/>
      <c r="BO11" s="312"/>
      <c r="BP11" s="312"/>
      <c r="BQ11" s="312"/>
      <c r="BR11" s="312"/>
      <c r="BS11" s="312"/>
      <c r="BT11" s="312"/>
      <c r="BU11" s="312"/>
      <c r="BV11" s="312"/>
      <c r="BW11" s="312"/>
      <c r="BX11" s="312"/>
      <c r="BY11" s="312"/>
      <c r="BZ11" s="312"/>
      <c r="CA11" s="312"/>
      <c r="CB11" s="312"/>
      <c r="CC11" s="312"/>
      <c r="CD11" s="312"/>
      <c r="CE11" s="312"/>
      <c r="CF11" s="312"/>
      <c r="CG11" s="312"/>
      <c r="CH11" s="312"/>
      <c r="CI11" s="312"/>
      <c r="CJ11" s="312"/>
      <c r="CK11" s="312"/>
      <c r="CL11" s="312"/>
      <c r="CM11" s="312"/>
      <c r="CN11" s="312"/>
      <c r="CO11" s="312"/>
      <c r="CP11" s="312"/>
      <c r="CQ11" s="312"/>
      <c r="CR11" s="312"/>
    </row>
    <row r="12" spans="1:96" s="300" customFormat="1" ht="15.75" customHeight="1">
      <c r="A12" s="313"/>
      <c r="B12" s="305" t="s">
        <v>673</v>
      </c>
      <c r="C12" s="311">
        <v>2520</v>
      </c>
      <c r="D12" s="311">
        <v>2700</v>
      </c>
      <c r="E12" s="306">
        <f t="shared" si="0"/>
        <v>7.142857142857142</v>
      </c>
      <c r="F12" s="310">
        <v>4560</v>
      </c>
      <c r="G12" s="311">
        <v>4830</v>
      </c>
      <c r="H12" s="306">
        <f t="shared" si="1"/>
        <v>5.921052631578947</v>
      </c>
      <c r="I12" s="310"/>
      <c r="J12" s="311"/>
      <c r="K12" s="306"/>
      <c r="L12" s="310"/>
      <c r="M12" s="311"/>
      <c r="N12" s="306"/>
      <c r="O12" s="310"/>
      <c r="P12" s="311"/>
      <c r="Q12" s="306"/>
      <c r="R12" s="310"/>
      <c r="S12" s="311"/>
      <c r="T12" s="306"/>
      <c r="U12" s="310"/>
      <c r="V12" s="311"/>
      <c r="W12" s="306"/>
      <c r="X12" s="310"/>
      <c r="Y12" s="311"/>
      <c r="Z12" s="306"/>
      <c r="AA12" s="310"/>
      <c r="AB12" s="311"/>
      <c r="AC12" s="306"/>
      <c r="AD12" s="310"/>
      <c r="AE12" s="311"/>
      <c r="AF12" s="306"/>
      <c r="AG12" s="310"/>
      <c r="AH12" s="311"/>
      <c r="AI12" s="306"/>
      <c r="AJ12" s="310"/>
      <c r="AK12" s="311"/>
      <c r="AL12" s="306"/>
      <c r="AM12" s="310"/>
      <c r="AN12" s="311"/>
      <c r="AO12" s="306"/>
      <c r="AP12" s="310"/>
      <c r="AQ12" s="311"/>
      <c r="AR12" s="306"/>
      <c r="AS12" s="310"/>
      <c r="AT12" s="311"/>
      <c r="AU12" s="306"/>
      <c r="AV12" s="310"/>
      <c r="AW12" s="311"/>
      <c r="AX12" s="306"/>
      <c r="AY12" s="310"/>
      <c r="AZ12" s="311"/>
      <c r="BA12" s="306"/>
      <c r="BB12" s="310"/>
      <c r="BC12" s="311"/>
      <c r="BD12" s="306"/>
      <c r="BE12" s="312"/>
      <c r="BF12" s="312"/>
      <c r="BG12" s="312"/>
      <c r="BH12" s="312"/>
      <c r="BI12" s="312"/>
      <c r="BJ12" s="312"/>
      <c r="BK12" s="312"/>
      <c r="BL12" s="312"/>
      <c r="BM12" s="312"/>
      <c r="BN12" s="312"/>
      <c r="BO12" s="312"/>
      <c r="BP12" s="312"/>
      <c r="BQ12" s="312"/>
      <c r="BR12" s="312"/>
      <c r="BS12" s="312"/>
      <c r="BT12" s="312"/>
      <c r="BU12" s="312"/>
      <c r="BV12" s="312"/>
      <c r="BW12" s="312"/>
      <c r="BX12" s="312"/>
      <c r="BY12" s="312"/>
      <c r="BZ12" s="312"/>
      <c r="CA12" s="312"/>
      <c r="CB12" s="312"/>
      <c r="CC12" s="312"/>
      <c r="CD12" s="312"/>
      <c r="CE12" s="312"/>
      <c r="CF12" s="312"/>
      <c r="CG12" s="312"/>
      <c r="CH12" s="312"/>
      <c r="CI12" s="312"/>
      <c r="CJ12" s="312"/>
      <c r="CK12" s="312"/>
      <c r="CL12" s="312"/>
      <c r="CM12" s="312"/>
      <c r="CN12" s="312"/>
      <c r="CO12" s="312"/>
      <c r="CP12" s="312"/>
      <c r="CQ12" s="312"/>
      <c r="CR12" s="312"/>
    </row>
    <row r="13" spans="1:96" s="300" customFormat="1" ht="15.75" customHeight="1">
      <c r="A13" s="313"/>
      <c r="B13" s="305" t="s">
        <v>76</v>
      </c>
      <c r="C13" s="311">
        <v>2520</v>
      </c>
      <c r="D13" s="311">
        <v>2700</v>
      </c>
      <c r="E13" s="306">
        <f t="shared" si="0"/>
        <v>7.142857142857142</v>
      </c>
      <c r="F13" s="310">
        <v>4560</v>
      </c>
      <c r="G13" s="311">
        <v>4830</v>
      </c>
      <c r="H13" s="306">
        <f t="shared" si="1"/>
        <v>5.921052631578947</v>
      </c>
      <c r="I13" s="310"/>
      <c r="J13" s="311"/>
      <c r="K13" s="306"/>
      <c r="L13" s="310"/>
      <c r="M13" s="311"/>
      <c r="N13" s="306"/>
      <c r="O13" s="310"/>
      <c r="P13" s="311"/>
      <c r="Q13" s="306"/>
      <c r="R13" s="310"/>
      <c r="S13" s="311"/>
      <c r="T13" s="306"/>
      <c r="U13" s="310"/>
      <c r="V13" s="311"/>
      <c r="W13" s="306"/>
      <c r="X13" s="310"/>
      <c r="Y13" s="311"/>
      <c r="Z13" s="306"/>
      <c r="AA13" s="310"/>
      <c r="AB13" s="311"/>
      <c r="AC13" s="306"/>
      <c r="AD13" s="310"/>
      <c r="AE13" s="311"/>
      <c r="AF13" s="306"/>
      <c r="AG13" s="310"/>
      <c r="AH13" s="311"/>
      <c r="AI13" s="306"/>
      <c r="AJ13" s="310"/>
      <c r="AK13" s="311"/>
      <c r="AL13" s="306"/>
      <c r="AM13" s="310"/>
      <c r="AN13" s="311"/>
      <c r="AO13" s="306"/>
      <c r="AP13" s="310"/>
      <c r="AQ13" s="311"/>
      <c r="AR13" s="306"/>
      <c r="AS13" s="310"/>
      <c r="AT13" s="311"/>
      <c r="AU13" s="306"/>
      <c r="AV13" s="310"/>
      <c r="AW13" s="311"/>
      <c r="AX13" s="306"/>
      <c r="AY13" s="310"/>
      <c r="AZ13" s="311"/>
      <c r="BA13" s="306"/>
      <c r="BB13" s="310"/>
      <c r="BC13" s="311"/>
      <c r="BD13" s="306"/>
      <c r="BE13" s="312"/>
      <c r="BF13" s="312"/>
      <c r="BG13" s="312"/>
      <c r="BH13" s="312"/>
      <c r="BI13" s="312"/>
      <c r="BJ13" s="312"/>
      <c r="BK13" s="312"/>
      <c r="BL13" s="312"/>
      <c r="BM13" s="312"/>
      <c r="BN13" s="312"/>
      <c r="BO13" s="312"/>
      <c r="BP13" s="312"/>
      <c r="BQ13" s="312"/>
      <c r="BR13" s="312"/>
      <c r="BS13" s="312"/>
      <c r="BT13" s="312"/>
      <c r="BU13" s="312"/>
      <c r="BV13" s="312"/>
      <c r="BW13" s="312"/>
      <c r="BX13" s="312"/>
      <c r="BY13" s="312"/>
      <c r="BZ13" s="312"/>
      <c r="CA13" s="312"/>
      <c r="CB13" s="312"/>
      <c r="CC13" s="312"/>
      <c r="CD13" s="312"/>
      <c r="CE13" s="312"/>
      <c r="CF13" s="312"/>
      <c r="CG13" s="312"/>
      <c r="CH13" s="312"/>
      <c r="CI13" s="312"/>
      <c r="CJ13" s="312"/>
      <c r="CK13" s="312"/>
      <c r="CL13" s="312"/>
      <c r="CM13" s="312"/>
      <c r="CN13" s="312"/>
      <c r="CO13" s="312"/>
      <c r="CP13" s="312"/>
      <c r="CQ13" s="312"/>
      <c r="CR13" s="312"/>
    </row>
    <row r="14" spans="1:96" s="300" customFormat="1" ht="15.75" customHeight="1">
      <c r="A14" s="313"/>
      <c r="B14" s="305" t="s">
        <v>473</v>
      </c>
      <c r="C14" s="311">
        <v>2520</v>
      </c>
      <c r="D14" s="311">
        <v>2700</v>
      </c>
      <c r="E14" s="306">
        <f t="shared" si="0"/>
        <v>7.142857142857142</v>
      </c>
      <c r="F14" s="310">
        <v>4560</v>
      </c>
      <c r="G14" s="311">
        <v>4830</v>
      </c>
      <c r="H14" s="306">
        <f t="shared" si="1"/>
        <v>5.921052631578947</v>
      </c>
      <c r="I14" s="310"/>
      <c r="J14" s="311"/>
      <c r="K14" s="306"/>
      <c r="L14" s="310"/>
      <c r="M14" s="311"/>
      <c r="N14" s="306"/>
      <c r="O14" s="310"/>
      <c r="P14" s="311"/>
      <c r="Q14" s="306"/>
      <c r="R14" s="310"/>
      <c r="S14" s="311"/>
      <c r="T14" s="306"/>
      <c r="U14" s="310"/>
      <c r="V14" s="311"/>
      <c r="W14" s="306"/>
      <c r="X14" s="310"/>
      <c r="Y14" s="311"/>
      <c r="Z14" s="306"/>
      <c r="AA14" s="310"/>
      <c r="AB14" s="311"/>
      <c r="AC14" s="306"/>
      <c r="AD14" s="310"/>
      <c r="AE14" s="311"/>
      <c r="AF14" s="306"/>
      <c r="AG14" s="310"/>
      <c r="AH14" s="311"/>
      <c r="AI14" s="306"/>
      <c r="AJ14" s="310"/>
      <c r="AK14" s="311"/>
      <c r="AL14" s="306"/>
      <c r="AM14" s="310"/>
      <c r="AN14" s="311"/>
      <c r="AO14" s="306"/>
      <c r="AP14" s="310"/>
      <c r="AQ14" s="311"/>
      <c r="AR14" s="306"/>
      <c r="AS14" s="310"/>
      <c r="AT14" s="311"/>
      <c r="AU14" s="306"/>
      <c r="AV14" s="310"/>
      <c r="AW14" s="311"/>
      <c r="AX14" s="306"/>
      <c r="AY14" s="310"/>
      <c r="AZ14" s="311"/>
      <c r="BA14" s="306"/>
      <c r="BB14" s="310"/>
      <c r="BC14" s="311"/>
      <c r="BD14" s="306"/>
      <c r="BE14" s="312"/>
      <c r="BF14" s="312"/>
      <c r="BG14" s="312"/>
      <c r="BH14" s="312"/>
      <c r="BI14" s="312"/>
      <c r="BJ14" s="312"/>
      <c r="BK14" s="312"/>
      <c r="BL14" s="312"/>
      <c r="BM14" s="312"/>
      <c r="BN14" s="312"/>
      <c r="BO14" s="312"/>
      <c r="BP14" s="312"/>
      <c r="BQ14" s="312"/>
      <c r="BR14" s="312"/>
      <c r="BS14" s="312"/>
      <c r="BT14" s="312"/>
      <c r="BU14" s="312"/>
      <c r="BV14" s="312"/>
      <c r="BW14" s="312"/>
      <c r="BX14" s="312"/>
      <c r="BY14" s="312"/>
      <c r="BZ14" s="312"/>
      <c r="CA14" s="312"/>
      <c r="CB14" s="312"/>
      <c r="CC14" s="312"/>
      <c r="CD14" s="312"/>
      <c r="CE14" s="312"/>
      <c r="CF14" s="312"/>
      <c r="CG14" s="312"/>
      <c r="CH14" s="312"/>
      <c r="CI14" s="312"/>
      <c r="CJ14" s="312"/>
      <c r="CK14" s="312"/>
      <c r="CL14" s="312"/>
      <c r="CM14" s="312"/>
      <c r="CN14" s="312"/>
      <c r="CO14" s="312"/>
      <c r="CP14" s="312"/>
      <c r="CQ14" s="312"/>
      <c r="CR14" s="312"/>
    </row>
    <row r="15" spans="1:96" s="300" customFormat="1" ht="15.75" customHeight="1">
      <c r="A15" s="313"/>
      <c r="B15" s="305" t="s">
        <v>77</v>
      </c>
      <c r="C15" s="311">
        <v>2520</v>
      </c>
      <c r="D15" s="311">
        <v>2700</v>
      </c>
      <c r="E15" s="306">
        <f t="shared" si="0"/>
        <v>7.142857142857142</v>
      </c>
      <c r="F15" s="310">
        <v>4560</v>
      </c>
      <c r="G15" s="311">
        <v>4830</v>
      </c>
      <c r="H15" s="306">
        <f t="shared" si="1"/>
        <v>5.921052631578947</v>
      </c>
      <c r="I15" s="310"/>
      <c r="J15" s="311"/>
      <c r="K15" s="306"/>
      <c r="L15" s="310"/>
      <c r="M15" s="311"/>
      <c r="N15" s="306"/>
      <c r="O15" s="310"/>
      <c r="P15" s="311"/>
      <c r="Q15" s="306"/>
      <c r="R15" s="310"/>
      <c r="S15" s="311"/>
      <c r="T15" s="306"/>
      <c r="U15" s="310"/>
      <c r="V15" s="311"/>
      <c r="W15" s="306"/>
      <c r="X15" s="310"/>
      <c r="Y15" s="311"/>
      <c r="Z15" s="306"/>
      <c r="AA15" s="310"/>
      <c r="AB15" s="311"/>
      <c r="AC15" s="306"/>
      <c r="AD15" s="310"/>
      <c r="AE15" s="311"/>
      <c r="AF15" s="306"/>
      <c r="AG15" s="310"/>
      <c r="AH15" s="311"/>
      <c r="AI15" s="306"/>
      <c r="AJ15" s="310"/>
      <c r="AK15" s="311"/>
      <c r="AL15" s="306"/>
      <c r="AM15" s="310"/>
      <c r="AN15" s="311"/>
      <c r="AO15" s="306"/>
      <c r="AP15" s="310"/>
      <c r="AQ15" s="311"/>
      <c r="AR15" s="306"/>
      <c r="AS15" s="310"/>
      <c r="AT15" s="311"/>
      <c r="AU15" s="306"/>
      <c r="AV15" s="310"/>
      <c r="AW15" s="311"/>
      <c r="AX15" s="306"/>
      <c r="AY15" s="310"/>
      <c r="AZ15" s="311"/>
      <c r="BA15" s="306"/>
      <c r="BB15" s="310"/>
      <c r="BC15" s="311"/>
      <c r="BD15" s="306"/>
      <c r="BE15" s="312"/>
      <c r="BF15" s="312"/>
      <c r="BG15" s="312"/>
      <c r="BH15" s="312"/>
      <c r="BI15" s="312"/>
      <c r="BJ15" s="312"/>
      <c r="BK15" s="312"/>
      <c r="BL15" s="312"/>
      <c r="BM15" s="312"/>
      <c r="BN15" s="312"/>
      <c r="BO15" s="312"/>
      <c r="BP15" s="312"/>
      <c r="BQ15" s="312"/>
      <c r="BR15" s="312"/>
      <c r="BS15" s="312"/>
      <c r="BT15" s="312"/>
      <c r="BU15" s="312"/>
      <c r="BV15" s="312"/>
      <c r="BW15" s="312"/>
      <c r="BX15" s="312"/>
      <c r="BY15" s="312"/>
      <c r="BZ15" s="312"/>
      <c r="CA15" s="312"/>
      <c r="CB15" s="312"/>
      <c r="CC15" s="312"/>
      <c r="CD15" s="312"/>
      <c r="CE15" s="312"/>
      <c r="CF15" s="312"/>
      <c r="CG15" s="312"/>
      <c r="CH15" s="312"/>
      <c r="CI15" s="312"/>
      <c r="CJ15" s="312"/>
      <c r="CK15" s="312"/>
      <c r="CL15" s="312"/>
      <c r="CM15" s="312"/>
      <c r="CN15" s="312"/>
      <c r="CO15" s="312"/>
      <c r="CP15" s="312"/>
      <c r="CQ15" s="312"/>
      <c r="CR15" s="312"/>
    </row>
    <row r="16" spans="1:96" s="300" customFormat="1" ht="15.75" customHeight="1">
      <c r="A16" s="313"/>
      <c r="B16" s="305" t="s">
        <v>63</v>
      </c>
      <c r="C16" s="311">
        <v>2520</v>
      </c>
      <c r="D16" s="311">
        <v>2700</v>
      </c>
      <c r="E16" s="306">
        <f t="shared" si="0"/>
        <v>7.142857142857142</v>
      </c>
      <c r="F16" s="310">
        <v>4560</v>
      </c>
      <c r="G16" s="311">
        <v>4830</v>
      </c>
      <c r="H16" s="306">
        <f t="shared" si="1"/>
        <v>5.921052631578947</v>
      </c>
      <c r="I16" s="310"/>
      <c r="J16" s="311"/>
      <c r="K16" s="306"/>
      <c r="L16" s="310"/>
      <c r="M16" s="311"/>
      <c r="N16" s="306"/>
      <c r="O16" s="310"/>
      <c r="P16" s="311"/>
      <c r="Q16" s="306"/>
      <c r="R16" s="310"/>
      <c r="S16" s="311"/>
      <c r="T16" s="306"/>
      <c r="U16" s="310"/>
      <c r="V16" s="311"/>
      <c r="W16" s="306"/>
      <c r="X16" s="310"/>
      <c r="Y16" s="311"/>
      <c r="Z16" s="306"/>
      <c r="AA16" s="310"/>
      <c r="AB16" s="311"/>
      <c r="AC16" s="306"/>
      <c r="AD16" s="310"/>
      <c r="AE16" s="311"/>
      <c r="AF16" s="306"/>
      <c r="AG16" s="310"/>
      <c r="AH16" s="311"/>
      <c r="AI16" s="306"/>
      <c r="AJ16" s="310"/>
      <c r="AK16" s="311"/>
      <c r="AL16" s="306"/>
      <c r="AM16" s="310"/>
      <c r="AN16" s="311"/>
      <c r="AO16" s="306"/>
      <c r="AP16" s="310"/>
      <c r="AQ16" s="311"/>
      <c r="AR16" s="306"/>
      <c r="AS16" s="310"/>
      <c r="AT16" s="311"/>
      <c r="AU16" s="306"/>
      <c r="AV16" s="310"/>
      <c r="AW16" s="311"/>
      <c r="AX16" s="306"/>
      <c r="AY16" s="310"/>
      <c r="AZ16" s="311"/>
      <c r="BA16" s="306"/>
      <c r="BB16" s="310"/>
      <c r="BC16" s="311"/>
      <c r="BD16" s="306"/>
      <c r="BE16" s="312"/>
      <c r="BF16" s="312"/>
      <c r="BG16" s="312"/>
      <c r="BH16" s="312"/>
      <c r="BI16" s="312"/>
      <c r="BJ16" s="312"/>
      <c r="BK16" s="312"/>
      <c r="BL16" s="312"/>
      <c r="BM16" s="312"/>
      <c r="BN16" s="312"/>
      <c r="BO16" s="312"/>
      <c r="BP16" s="312"/>
      <c r="BQ16" s="312"/>
      <c r="BR16" s="312"/>
      <c r="BS16" s="312"/>
      <c r="BT16" s="312"/>
      <c r="BU16" s="312"/>
      <c r="BV16" s="312"/>
      <c r="BW16" s="312"/>
      <c r="BX16" s="312"/>
      <c r="BY16" s="312"/>
      <c r="BZ16" s="312"/>
      <c r="CA16" s="312"/>
      <c r="CB16" s="312"/>
      <c r="CC16" s="312"/>
      <c r="CD16" s="312"/>
      <c r="CE16" s="312"/>
      <c r="CF16" s="312"/>
      <c r="CG16" s="312"/>
      <c r="CH16" s="312"/>
      <c r="CI16" s="312"/>
      <c r="CJ16" s="312"/>
      <c r="CK16" s="312"/>
      <c r="CL16" s="312"/>
      <c r="CM16" s="312"/>
      <c r="CN16" s="312"/>
      <c r="CO16" s="312"/>
      <c r="CP16" s="312"/>
      <c r="CQ16" s="312"/>
      <c r="CR16" s="312"/>
    </row>
    <row r="17" spans="1:96" s="300" customFormat="1" ht="15.75" customHeight="1">
      <c r="A17" s="313"/>
      <c r="B17" s="305" t="s">
        <v>64</v>
      </c>
      <c r="C17" s="311"/>
      <c r="D17" s="311"/>
      <c r="E17" s="306">
        <f t="shared" si="0"/>
        <v>0</v>
      </c>
      <c r="F17" s="310"/>
      <c r="G17" s="311"/>
      <c r="H17" s="306">
        <f t="shared" si="1"/>
        <v>0</v>
      </c>
      <c r="I17" s="310"/>
      <c r="J17" s="311"/>
      <c r="K17" s="306"/>
      <c r="L17" s="310"/>
      <c r="M17" s="311"/>
      <c r="N17" s="306"/>
      <c r="O17" s="310"/>
      <c r="P17" s="311"/>
      <c r="Q17" s="306"/>
      <c r="R17" s="310"/>
      <c r="S17" s="311"/>
      <c r="T17" s="306"/>
      <c r="U17" s="310"/>
      <c r="V17" s="311"/>
      <c r="W17" s="306"/>
      <c r="X17" s="310"/>
      <c r="Y17" s="311"/>
      <c r="Z17" s="306"/>
      <c r="AA17" s="310"/>
      <c r="AB17" s="311"/>
      <c r="AC17" s="306"/>
      <c r="AD17" s="310"/>
      <c r="AE17" s="311"/>
      <c r="AF17" s="306"/>
      <c r="AG17" s="310"/>
      <c r="AH17" s="311"/>
      <c r="AI17" s="306"/>
      <c r="AJ17" s="310"/>
      <c r="AK17" s="311"/>
      <c r="AL17" s="306"/>
      <c r="AM17" s="310"/>
      <c r="AN17" s="311"/>
      <c r="AO17" s="306"/>
      <c r="AP17" s="310"/>
      <c r="AQ17" s="311"/>
      <c r="AR17" s="306"/>
      <c r="AS17" s="310"/>
      <c r="AT17" s="311"/>
      <c r="AU17" s="306"/>
      <c r="AV17" s="310"/>
      <c r="AW17" s="311"/>
      <c r="AX17" s="306"/>
      <c r="AY17" s="310"/>
      <c r="AZ17" s="311"/>
      <c r="BA17" s="306"/>
      <c r="BB17" s="310"/>
      <c r="BC17" s="311"/>
      <c r="BD17" s="306"/>
      <c r="BE17" s="312"/>
      <c r="BF17" s="312"/>
      <c r="BG17" s="312"/>
      <c r="BH17" s="312"/>
      <c r="BI17" s="312"/>
      <c r="BJ17" s="312"/>
      <c r="BK17" s="312"/>
      <c r="BL17" s="312"/>
      <c r="BM17" s="312"/>
      <c r="BN17" s="312"/>
      <c r="BO17" s="312"/>
      <c r="BP17" s="312"/>
      <c r="BQ17" s="312"/>
      <c r="BR17" s="312"/>
      <c r="BS17" s="312"/>
      <c r="BT17" s="312"/>
      <c r="BU17" s="312"/>
      <c r="BV17" s="312"/>
      <c r="BW17" s="312"/>
      <c r="BX17" s="312"/>
      <c r="BY17" s="312"/>
      <c r="BZ17" s="312"/>
      <c r="CA17" s="312"/>
      <c r="CB17" s="312"/>
      <c r="CC17" s="312"/>
      <c r="CD17" s="312"/>
      <c r="CE17" s="312"/>
      <c r="CF17" s="312"/>
      <c r="CG17" s="312"/>
      <c r="CH17" s="312"/>
      <c r="CI17" s="312"/>
      <c r="CJ17" s="312"/>
      <c r="CK17" s="312"/>
      <c r="CL17" s="312"/>
      <c r="CM17" s="312"/>
      <c r="CN17" s="312"/>
      <c r="CO17" s="312"/>
      <c r="CP17" s="312"/>
      <c r="CQ17" s="312"/>
      <c r="CR17" s="312"/>
    </row>
    <row r="18" spans="1:96" s="300" customFormat="1" ht="15.75" customHeight="1">
      <c r="A18" s="313"/>
      <c r="B18" s="305" t="s">
        <v>970</v>
      </c>
      <c r="C18" s="311">
        <v>2520</v>
      </c>
      <c r="D18" s="311">
        <v>2700</v>
      </c>
      <c r="E18" s="306">
        <f t="shared" si="0"/>
        <v>7.142857142857142</v>
      </c>
      <c r="F18" s="310">
        <v>4560</v>
      </c>
      <c r="G18" s="311">
        <v>4830</v>
      </c>
      <c r="H18" s="306">
        <f t="shared" si="1"/>
        <v>5.921052631578947</v>
      </c>
      <c r="I18" s="310"/>
      <c r="J18" s="311"/>
      <c r="K18" s="306"/>
      <c r="L18" s="310"/>
      <c r="M18" s="311"/>
      <c r="N18" s="306"/>
      <c r="O18" s="310"/>
      <c r="P18" s="311"/>
      <c r="Q18" s="306"/>
      <c r="R18" s="310"/>
      <c r="S18" s="311"/>
      <c r="T18" s="306"/>
      <c r="U18" s="310"/>
      <c r="V18" s="311"/>
      <c r="W18" s="306"/>
      <c r="X18" s="310"/>
      <c r="Y18" s="311"/>
      <c r="Z18" s="306"/>
      <c r="AA18" s="310"/>
      <c r="AB18" s="311"/>
      <c r="AC18" s="306"/>
      <c r="AD18" s="310"/>
      <c r="AE18" s="311"/>
      <c r="AF18" s="306"/>
      <c r="AG18" s="310"/>
      <c r="AH18" s="311"/>
      <c r="AI18" s="306"/>
      <c r="AJ18" s="310"/>
      <c r="AK18" s="311"/>
      <c r="AL18" s="306"/>
      <c r="AM18" s="310"/>
      <c r="AN18" s="311"/>
      <c r="AO18" s="306"/>
      <c r="AP18" s="310"/>
      <c r="AQ18" s="311"/>
      <c r="AR18" s="306"/>
      <c r="AS18" s="310"/>
      <c r="AT18" s="311"/>
      <c r="AU18" s="306"/>
      <c r="AV18" s="310"/>
      <c r="AW18" s="311"/>
      <c r="AX18" s="306"/>
      <c r="AY18" s="310"/>
      <c r="AZ18" s="311"/>
      <c r="BA18" s="306"/>
      <c r="BB18" s="310"/>
      <c r="BC18" s="311"/>
      <c r="BD18" s="306"/>
      <c r="BE18" s="312"/>
      <c r="BF18" s="312"/>
      <c r="BG18" s="312"/>
      <c r="BH18" s="312"/>
      <c r="BI18" s="312"/>
      <c r="BJ18" s="312"/>
      <c r="BK18" s="312"/>
      <c r="BL18" s="312"/>
      <c r="BM18" s="312"/>
      <c r="BN18" s="312"/>
      <c r="BO18" s="312"/>
      <c r="BP18" s="312"/>
      <c r="BQ18" s="312"/>
      <c r="BR18" s="312"/>
      <c r="BS18" s="312"/>
      <c r="BT18" s="312"/>
      <c r="BU18" s="312"/>
      <c r="BV18" s="312"/>
      <c r="BW18" s="312"/>
      <c r="BX18" s="312"/>
      <c r="BY18" s="312"/>
      <c r="BZ18" s="312"/>
      <c r="CA18" s="312"/>
      <c r="CB18" s="312"/>
      <c r="CC18" s="312"/>
      <c r="CD18" s="312"/>
      <c r="CE18" s="312"/>
      <c r="CF18" s="312"/>
      <c r="CG18" s="312"/>
      <c r="CH18" s="312"/>
      <c r="CI18" s="312"/>
      <c r="CJ18" s="312"/>
      <c r="CK18" s="312"/>
      <c r="CL18" s="312"/>
      <c r="CM18" s="312"/>
      <c r="CN18" s="312"/>
      <c r="CO18" s="312"/>
      <c r="CP18" s="312"/>
      <c r="CQ18" s="312"/>
      <c r="CR18" s="312"/>
    </row>
    <row r="19" spans="1:96" s="321" customFormat="1" ht="15.75" customHeight="1">
      <c r="A19" s="314"/>
      <c r="B19" s="315"/>
      <c r="C19" s="317"/>
      <c r="D19" s="317"/>
      <c r="E19" s="318">
        <f t="shared" si="0"/>
        <v>0</v>
      </c>
      <c r="F19" s="316"/>
      <c r="G19" s="317"/>
      <c r="H19" s="318">
        <f t="shared" si="1"/>
        <v>0</v>
      </c>
      <c r="I19" s="316"/>
      <c r="J19" s="317"/>
      <c r="K19" s="318"/>
      <c r="L19" s="316"/>
      <c r="M19" s="317"/>
      <c r="N19" s="319"/>
      <c r="O19" s="316">
        <v>7252</v>
      </c>
      <c r="P19" s="317">
        <v>8130</v>
      </c>
      <c r="Q19" s="318">
        <f>IF(O19&gt;0,(((P19-O19)/O19)*100),0)</f>
        <v>12.107004964147821</v>
      </c>
      <c r="R19" s="316">
        <v>14982</v>
      </c>
      <c r="S19" s="317">
        <v>16802</v>
      </c>
      <c r="T19" s="318">
        <f>IF(R19&gt;0,(((S19-R19)/R19)*100),0)</f>
        <v>12.147910826324923</v>
      </c>
      <c r="U19" s="316">
        <v>10307</v>
      </c>
      <c r="V19" s="317">
        <v>11937</v>
      </c>
      <c r="W19" s="318">
        <f>IF(U19&gt;0,(((V19-U19)/U19)*100),0)</f>
        <v>15.81449500339575</v>
      </c>
      <c r="X19" s="316">
        <v>27646</v>
      </c>
      <c r="Y19" s="317">
        <v>31757</v>
      </c>
      <c r="Z19" s="318">
        <f>IF(X19&gt;0,(((Y19-X19)/X19)*100),0)</f>
        <v>14.870143962960283</v>
      </c>
      <c r="AA19" s="316">
        <v>9979</v>
      </c>
      <c r="AB19" s="317">
        <v>11189</v>
      </c>
      <c r="AC19" s="318">
        <f>IF(AA19&gt;0,(((AB19-AA19)/AA19)*100),0)</f>
        <v>12.125463473293916</v>
      </c>
      <c r="AD19" s="316">
        <v>26059</v>
      </c>
      <c r="AE19" s="317">
        <v>29681</v>
      </c>
      <c r="AF19" s="318">
        <f>IF(AD19&gt;0,(((AE19-AD19)/AD19)*100),0)</f>
        <v>13.899228673394989</v>
      </c>
      <c r="AG19" s="316">
        <v>11026</v>
      </c>
      <c r="AH19" s="317">
        <v>12508</v>
      </c>
      <c r="AI19" s="318">
        <f>IF(AG19&gt;0,(((AH19-AG19)/AG19)*100),0)</f>
        <v>13.440957736259751</v>
      </c>
      <c r="AJ19" s="316">
        <v>20806</v>
      </c>
      <c r="AK19" s="317">
        <v>21968</v>
      </c>
      <c r="AL19" s="318">
        <f>IF(AJ19&gt;0,(((AK19-AJ19)/AJ19)*100),0)</f>
        <v>5.584927424781313</v>
      </c>
      <c r="AM19" s="316">
        <v>11355</v>
      </c>
      <c r="AN19" s="317">
        <v>12618</v>
      </c>
      <c r="AO19" s="318">
        <f>IF(AM19&gt;0,(((AN19-AM19)/AM19)*100),0)</f>
        <v>11.122853368560106</v>
      </c>
      <c r="AP19" s="316">
        <v>27947</v>
      </c>
      <c r="AQ19" s="317">
        <v>31698</v>
      </c>
      <c r="AR19" s="318">
        <f>IF(AP19&gt;0,(((AQ19-AP19)/AP19)*100),0)</f>
        <v>13.421834186138046</v>
      </c>
      <c r="AS19" s="316"/>
      <c r="AT19" s="317"/>
      <c r="AU19" s="318"/>
      <c r="AV19" s="316"/>
      <c r="AW19" s="317"/>
      <c r="AX19" s="318">
        <f>IF(AV19&gt;0,(((AW19-AV19)/AV19)*100),0)</f>
        <v>0</v>
      </c>
      <c r="AY19" s="316">
        <v>8306</v>
      </c>
      <c r="AZ19" s="317">
        <v>9048</v>
      </c>
      <c r="BA19" s="318">
        <f>IF(AY19&gt;0,(((AZ19-AY19)/AY19)*100),0)</f>
        <v>8.933301228027931</v>
      </c>
      <c r="BB19" s="316">
        <v>24526</v>
      </c>
      <c r="BC19" s="317">
        <v>26708</v>
      </c>
      <c r="BD19" s="318">
        <f>IF(BB19&gt;0,(((BC19-BB19)/BB19)*100),0)</f>
        <v>8.896681073146864</v>
      </c>
      <c r="BE19" s="320"/>
      <c r="BF19" s="320"/>
      <c r="BG19" s="320"/>
      <c r="BH19" s="320"/>
      <c r="BI19" s="320"/>
      <c r="BJ19" s="320"/>
      <c r="BK19" s="320"/>
      <c r="BL19" s="320"/>
      <c r="BM19" s="320"/>
      <c r="BN19" s="320"/>
      <c r="BO19" s="320"/>
      <c r="BP19" s="320"/>
      <c r="BQ19" s="320"/>
      <c r="BR19" s="320"/>
      <c r="BS19" s="320"/>
      <c r="BT19" s="320"/>
      <c r="BU19" s="320"/>
      <c r="BV19" s="320"/>
      <c r="BW19" s="320"/>
      <c r="BX19" s="320"/>
      <c r="BY19" s="320"/>
      <c r="BZ19" s="320"/>
      <c r="CA19" s="320"/>
      <c r="CB19" s="320"/>
      <c r="CC19" s="320"/>
      <c r="CD19" s="320"/>
      <c r="CE19" s="320"/>
      <c r="CF19" s="320"/>
      <c r="CG19" s="320"/>
      <c r="CH19" s="320"/>
      <c r="CI19" s="320"/>
      <c r="CJ19" s="320"/>
      <c r="CK19" s="320"/>
      <c r="CL19" s="320"/>
      <c r="CM19" s="320"/>
      <c r="CN19" s="320"/>
      <c r="CO19" s="320"/>
      <c r="CP19" s="320"/>
      <c r="CQ19" s="320"/>
      <c r="CR19" s="320"/>
    </row>
    <row r="20" spans="1:96" s="300" customFormat="1" ht="15.75" customHeight="1">
      <c r="A20" s="304" t="s">
        <v>956</v>
      </c>
      <c r="B20" s="305" t="s">
        <v>665</v>
      </c>
      <c r="C20" s="311">
        <v>4768</v>
      </c>
      <c r="D20" s="311">
        <v>5135</v>
      </c>
      <c r="E20" s="306">
        <f t="shared" si="0"/>
        <v>7.697147651006711</v>
      </c>
      <c r="F20" s="310">
        <v>11518</v>
      </c>
      <c r="G20" s="311">
        <v>12425</v>
      </c>
      <c r="H20" s="306">
        <f t="shared" si="1"/>
        <v>7.87463101232853</v>
      </c>
      <c r="I20" s="310">
        <v>6145</v>
      </c>
      <c r="J20" s="311">
        <v>6617</v>
      </c>
      <c r="K20" s="306">
        <f aca="true" t="shared" si="2" ref="K20:K27">IF(I20&gt;0,(((J20-I20)/I20)*100),0)</f>
        <v>7.681041497152156</v>
      </c>
      <c r="L20" s="310">
        <v>13489</v>
      </c>
      <c r="M20" s="311">
        <v>14549</v>
      </c>
      <c r="N20" s="306">
        <f aca="true" t="shared" si="3" ref="N20:N26">IF(L20&gt;0,(((M20-L20)/L20)*100),0)</f>
        <v>7.858254874342056</v>
      </c>
      <c r="O20" s="310"/>
      <c r="P20" s="311"/>
      <c r="Q20" s="306"/>
      <c r="R20" s="310"/>
      <c r="S20" s="311"/>
      <c r="T20" s="306"/>
      <c r="U20" s="310"/>
      <c r="V20" s="311"/>
      <c r="W20" s="306"/>
      <c r="X20" s="310"/>
      <c r="Y20" s="311"/>
      <c r="Z20" s="306"/>
      <c r="AA20" s="310"/>
      <c r="AB20" s="311"/>
      <c r="AC20" s="306"/>
      <c r="AD20" s="310"/>
      <c r="AE20" s="311"/>
      <c r="AF20" s="306"/>
      <c r="AG20" s="310"/>
      <c r="AH20" s="311"/>
      <c r="AI20" s="306"/>
      <c r="AJ20" s="310"/>
      <c r="AK20" s="311"/>
      <c r="AL20" s="306"/>
      <c r="AM20" s="310"/>
      <c r="AN20" s="311"/>
      <c r="AO20" s="306"/>
      <c r="AP20" s="310"/>
      <c r="AQ20" s="311"/>
      <c r="AR20" s="306"/>
      <c r="AS20" s="310"/>
      <c r="AT20" s="311"/>
      <c r="AU20" s="306"/>
      <c r="AV20" s="310"/>
      <c r="AW20" s="311"/>
      <c r="AX20" s="306"/>
      <c r="AY20" s="310"/>
      <c r="AZ20" s="311"/>
      <c r="BA20" s="306"/>
      <c r="BB20" s="310"/>
      <c r="BC20" s="311"/>
      <c r="BD20" s="306"/>
      <c r="BE20" s="312"/>
      <c r="BF20" s="312"/>
      <c r="BG20" s="312"/>
      <c r="BH20" s="312"/>
      <c r="BI20" s="312"/>
      <c r="BJ20" s="312"/>
      <c r="BK20" s="312"/>
      <c r="BL20" s="312"/>
      <c r="BM20" s="312"/>
      <c r="BN20" s="312"/>
      <c r="BO20" s="312"/>
      <c r="BP20" s="312"/>
      <c r="BQ20" s="312"/>
      <c r="BR20" s="312"/>
      <c r="BS20" s="312"/>
      <c r="BT20" s="312"/>
      <c r="BU20" s="312"/>
      <c r="BV20" s="312"/>
      <c r="BW20" s="312"/>
      <c r="BX20" s="312"/>
      <c r="BY20" s="312"/>
      <c r="BZ20" s="312"/>
      <c r="CA20" s="312"/>
      <c r="CB20" s="312"/>
      <c r="CC20" s="312"/>
      <c r="CD20" s="312"/>
      <c r="CE20" s="312"/>
      <c r="CF20" s="312"/>
      <c r="CG20" s="312"/>
      <c r="CH20" s="312"/>
      <c r="CI20" s="312"/>
      <c r="CJ20" s="312"/>
      <c r="CK20" s="312"/>
      <c r="CL20" s="312"/>
      <c r="CM20" s="312"/>
      <c r="CN20" s="312"/>
      <c r="CO20" s="312"/>
      <c r="CP20" s="312"/>
      <c r="CQ20" s="312"/>
      <c r="CR20" s="312"/>
    </row>
    <row r="21" spans="1:96" s="300" customFormat="1" ht="15.75" customHeight="1">
      <c r="A21" s="313"/>
      <c r="B21" s="305" t="s">
        <v>666</v>
      </c>
      <c r="C21" s="311"/>
      <c r="D21" s="311"/>
      <c r="E21" s="306">
        <f t="shared" si="0"/>
        <v>0</v>
      </c>
      <c r="F21" s="310"/>
      <c r="G21" s="311"/>
      <c r="H21" s="306">
        <f t="shared" si="1"/>
        <v>0</v>
      </c>
      <c r="I21" s="310"/>
      <c r="J21" s="311"/>
      <c r="K21" s="306">
        <f t="shared" si="2"/>
        <v>0</v>
      </c>
      <c r="L21" s="310"/>
      <c r="M21" s="311"/>
      <c r="N21" s="306">
        <f t="shared" si="3"/>
        <v>0</v>
      </c>
      <c r="O21" s="310"/>
      <c r="P21" s="311"/>
      <c r="Q21" s="306"/>
      <c r="R21" s="310"/>
      <c r="S21" s="311"/>
      <c r="T21" s="306"/>
      <c r="U21" s="310"/>
      <c r="V21" s="311"/>
      <c r="W21" s="306"/>
      <c r="X21" s="310"/>
      <c r="Y21" s="311"/>
      <c r="Z21" s="306"/>
      <c r="AA21" s="310"/>
      <c r="AB21" s="311"/>
      <c r="AC21" s="306"/>
      <c r="AD21" s="310"/>
      <c r="AE21" s="311"/>
      <c r="AF21" s="306"/>
      <c r="AG21" s="310"/>
      <c r="AH21" s="311"/>
      <c r="AI21" s="306"/>
      <c r="AJ21" s="310"/>
      <c r="AK21" s="311"/>
      <c r="AL21" s="306"/>
      <c r="AM21" s="310"/>
      <c r="AN21" s="311"/>
      <c r="AO21" s="306"/>
      <c r="AP21" s="310"/>
      <c r="AQ21" s="311"/>
      <c r="AR21" s="306"/>
      <c r="AS21" s="310"/>
      <c r="AT21" s="311"/>
      <c r="AU21" s="306"/>
      <c r="AV21" s="310"/>
      <c r="AW21" s="311"/>
      <c r="AX21" s="306"/>
      <c r="AY21" s="310"/>
      <c r="AZ21" s="311"/>
      <c r="BA21" s="306"/>
      <c r="BB21" s="310"/>
      <c r="BC21" s="311"/>
      <c r="BD21" s="306"/>
      <c r="BE21" s="312"/>
      <c r="BF21" s="312"/>
      <c r="BG21" s="312"/>
      <c r="BH21" s="312"/>
      <c r="BI21" s="312"/>
      <c r="BJ21" s="312"/>
      <c r="BK21" s="312"/>
      <c r="BL21" s="312"/>
      <c r="BM21" s="312"/>
      <c r="BN21" s="312"/>
      <c r="BO21" s="312"/>
      <c r="BP21" s="312"/>
      <c r="BQ21" s="312"/>
      <c r="BR21" s="312"/>
      <c r="BS21" s="312"/>
      <c r="BT21" s="312"/>
      <c r="BU21" s="312"/>
      <c r="BV21" s="312"/>
      <c r="BW21" s="312"/>
      <c r="BX21" s="312"/>
      <c r="BY21" s="312"/>
      <c r="BZ21" s="312"/>
      <c r="CA21" s="312"/>
      <c r="CB21" s="312"/>
      <c r="CC21" s="312"/>
      <c r="CD21" s="312"/>
      <c r="CE21" s="312"/>
      <c r="CF21" s="312"/>
      <c r="CG21" s="312"/>
      <c r="CH21" s="312"/>
      <c r="CI21" s="312"/>
      <c r="CJ21" s="312"/>
      <c r="CK21" s="312"/>
      <c r="CL21" s="312"/>
      <c r="CM21" s="312"/>
      <c r="CN21" s="312"/>
      <c r="CO21" s="312"/>
      <c r="CP21" s="312"/>
      <c r="CQ21" s="312"/>
      <c r="CR21" s="312"/>
    </row>
    <row r="22" spans="1:96" s="300" customFormat="1" ht="15.75" customHeight="1">
      <c r="A22" s="313"/>
      <c r="B22" s="305" t="s">
        <v>667</v>
      </c>
      <c r="C22" s="311">
        <v>4598</v>
      </c>
      <c r="D22" s="311">
        <v>5053</v>
      </c>
      <c r="E22" s="306">
        <f t="shared" si="0"/>
        <v>9.895606785558938</v>
      </c>
      <c r="F22" s="310">
        <v>10538</v>
      </c>
      <c r="G22" s="311">
        <v>11437</v>
      </c>
      <c r="H22" s="306">
        <f t="shared" si="1"/>
        <v>8.531030556082749</v>
      </c>
      <c r="I22" s="310">
        <v>4902</v>
      </c>
      <c r="J22" s="311">
        <v>5261</v>
      </c>
      <c r="K22" s="306">
        <f t="shared" si="2"/>
        <v>7.323541411668706</v>
      </c>
      <c r="L22" s="310">
        <v>9750</v>
      </c>
      <c r="M22" s="311">
        <v>10589</v>
      </c>
      <c r="N22" s="306">
        <f t="shared" si="3"/>
        <v>8.605128205128205</v>
      </c>
      <c r="O22" s="310"/>
      <c r="P22" s="311"/>
      <c r="Q22" s="306"/>
      <c r="R22" s="310"/>
      <c r="S22" s="311"/>
      <c r="T22" s="306"/>
      <c r="U22" s="310"/>
      <c r="V22" s="311"/>
      <c r="W22" s="306"/>
      <c r="X22" s="310"/>
      <c r="Y22" s="311"/>
      <c r="Z22" s="306"/>
      <c r="AA22" s="310"/>
      <c r="AB22" s="311"/>
      <c r="AC22" s="306"/>
      <c r="AD22" s="310"/>
      <c r="AE22" s="311"/>
      <c r="AF22" s="306"/>
      <c r="AG22" s="310"/>
      <c r="AH22" s="311"/>
      <c r="AI22" s="306"/>
      <c r="AJ22" s="310"/>
      <c r="AK22" s="311"/>
      <c r="AL22" s="306"/>
      <c r="AM22" s="310"/>
      <c r="AN22" s="311"/>
      <c r="AO22" s="306"/>
      <c r="AP22" s="310"/>
      <c r="AQ22" s="311"/>
      <c r="AR22" s="306"/>
      <c r="AS22" s="310"/>
      <c r="AT22" s="311"/>
      <c r="AU22" s="306"/>
      <c r="AV22" s="310"/>
      <c r="AW22" s="311"/>
      <c r="AX22" s="306"/>
      <c r="AY22" s="310"/>
      <c r="AZ22" s="311"/>
      <c r="BA22" s="306"/>
      <c r="BB22" s="310"/>
      <c r="BC22" s="311"/>
      <c r="BD22" s="306"/>
      <c r="BE22" s="312"/>
      <c r="BF22" s="312"/>
      <c r="BG22" s="312"/>
      <c r="BH22" s="312"/>
      <c r="BI22" s="312"/>
      <c r="BJ22" s="312"/>
      <c r="BK22" s="312"/>
      <c r="BL22" s="312"/>
      <c r="BM22" s="312"/>
      <c r="BN22" s="312"/>
      <c r="BO22" s="312"/>
      <c r="BP22" s="312"/>
      <c r="BQ22" s="312"/>
      <c r="BR22" s="312"/>
      <c r="BS22" s="312"/>
      <c r="BT22" s="312"/>
      <c r="BU22" s="312"/>
      <c r="BV22" s="312"/>
      <c r="BW22" s="312"/>
      <c r="BX22" s="312"/>
      <c r="BY22" s="312"/>
      <c r="BZ22" s="312"/>
      <c r="CA22" s="312"/>
      <c r="CB22" s="312"/>
      <c r="CC22" s="312"/>
      <c r="CD22" s="312"/>
      <c r="CE22" s="312"/>
      <c r="CF22" s="312"/>
      <c r="CG22" s="312"/>
      <c r="CH22" s="312"/>
      <c r="CI22" s="312"/>
      <c r="CJ22" s="312"/>
      <c r="CK22" s="312"/>
      <c r="CL22" s="312"/>
      <c r="CM22" s="312"/>
      <c r="CN22" s="312"/>
      <c r="CO22" s="312"/>
      <c r="CP22" s="312"/>
      <c r="CQ22" s="312"/>
      <c r="CR22" s="312"/>
    </row>
    <row r="23" spans="1:96" s="300" customFormat="1" ht="15.75" customHeight="1" thickBot="1">
      <c r="A23" s="313"/>
      <c r="B23" s="305" t="s">
        <v>668</v>
      </c>
      <c r="C23" s="311"/>
      <c r="D23" s="311"/>
      <c r="E23" s="306">
        <f t="shared" si="0"/>
        <v>0</v>
      </c>
      <c r="F23" s="310"/>
      <c r="G23" s="311"/>
      <c r="H23" s="306">
        <f t="shared" si="1"/>
        <v>0</v>
      </c>
      <c r="I23" s="310"/>
      <c r="J23" s="311"/>
      <c r="K23" s="306">
        <f t="shared" si="2"/>
        <v>0</v>
      </c>
      <c r="L23" s="310"/>
      <c r="M23" s="311"/>
      <c r="N23" s="306">
        <f t="shared" si="3"/>
        <v>0</v>
      </c>
      <c r="O23" s="310"/>
      <c r="P23" s="311"/>
      <c r="Q23" s="306"/>
      <c r="R23" s="310"/>
      <c r="S23" s="311"/>
      <c r="T23" s="306"/>
      <c r="U23" s="310"/>
      <c r="V23" s="311"/>
      <c r="W23" s="306"/>
      <c r="X23" s="310"/>
      <c r="Y23" s="311"/>
      <c r="Z23" s="306"/>
      <c r="AA23" s="310"/>
      <c r="AB23" s="311"/>
      <c r="AC23" s="306"/>
      <c r="AD23" s="310"/>
      <c r="AE23" s="311"/>
      <c r="AF23" s="306"/>
      <c r="AG23" s="310"/>
      <c r="AH23" s="311"/>
      <c r="AI23" s="306"/>
      <c r="AJ23" s="310"/>
      <c r="AK23" s="311"/>
      <c r="AL23" s="306"/>
      <c r="AM23" s="310"/>
      <c r="AN23" s="311"/>
      <c r="AO23" s="306"/>
      <c r="AP23" s="310"/>
      <c r="AQ23" s="311"/>
      <c r="AR23" s="306"/>
      <c r="AS23" s="310"/>
      <c r="AT23" s="311"/>
      <c r="AU23" s="306"/>
      <c r="AV23" s="310"/>
      <c r="AW23" s="311"/>
      <c r="AX23" s="306"/>
      <c r="AY23" s="310"/>
      <c r="AZ23" s="311"/>
      <c r="BA23" s="306"/>
      <c r="BB23" s="310"/>
      <c r="BC23" s="311"/>
      <c r="BD23" s="306"/>
      <c r="BE23" s="312"/>
      <c r="BF23" s="312"/>
      <c r="BG23" s="312"/>
      <c r="BH23" s="312"/>
      <c r="BI23" s="312"/>
      <c r="BJ23" s="312"/>
      <c r="BK23" s="312"/>
      <c r="BL23" s="312"/>
      <c r="BM23" s="312"/>
      <c r="BN23" s="312"/>
      <c r="BO23" s="312"/>
      <c r="BP23" s="312"/>
      <c r="BQ23" s="312"/>
      <c r="BR23" s="312"/>
      <c r="BS23" s="312"/>
      <c r="BT23" s="312"/>
      <c r="BU23" s="312"/>
      <c r="BV23" s="312"/>
      <c r="BW23" s="312"/>
      <c r="BX23" s="312"/>
      <c r="BY23" s="312"/>
      <c r="BZ23" s="312"/>
      <c r="CA23" s="312"/>
      <c r="CB23" s="312"/>
      <c r="CC23" s="312"/>
      <c r="CD23" s="312"/>
      <c r="CE23" s="312"/>
      <c r="CF23" s="312"/>
      <c r="CG23" s="312"/>
      <c r="CH23" s="312"/>
      <c r="CI23" s="312"/>
      <c r="CJ23" s="312"/>
      <c r="CK23" s="312"/>
      <c r="CL23" s="312"/>
      <c r="CM23" s="312"/>
      <c r="CN23" s="312"/>
      <c r="CO23" s="312"/>
      <c r="CP23" s="312"/>
      <c r="CQ23" s="312"/>
      <c r="CR23" s="312"/>
    </row>
    <row r="24" spans="1:96" s="300" customFormat="1" ht="15.75" customHeight="1" thickBot="1">
      <c r="A24" s="313"/>
      <c r="B24" s="305" t="s">
        <v>669</v>
      </c>
      <c r="C24" s="311">
        <v>3820</v>
      </c>
      <c r="D24" s="311">
        <v>4168</v>
      </c>
      <c r="E24" s="306">
        <f t="shared" si="0"/>
        <v>9.109947643979059</v>
      </c>
      <c r="F24" s="310">
        <v>7231</v>
      </c>
      <c r="G24" s="311">
        <v>7808</v>
      </c>
      <c r="H24" s="306">
        <f t="shared" si="1"/>
        <v>7.979532568109528</v>
      </c>
      <c r="I24" s="310">
        <v>3956</v>
      </c>
      <c r="J24" s="311">
        <v>4188</v>
      </c>
      <c r="K24" s="306">
        <f t="shared" si="2"/>
        <v>5.864509605662286</v>
      </c>
      <c r="L24" s="307">
        <v>7270</v>
      </c>
      <c r="M24" s="308">
        <v>8100</v>
      </c>
      <c r="N24" s="309">
        <f t="shared" si="3"/>
        <v>11.416781292984869</v>
      </c>
      <c r="O24" s="310"/>
      <c r="P24" s="311"/>
      <c r="Q24" s="306"/>
      <c r="R24" s="310"/>
      <c r="S24" s="311"/>
      <c r="T24" s="306"/>
      <c r="U24" s="310"/>
      <c r="V24" s="311"/>
      <c r="W24" s="306"/>
      <c r="X24" s="310"/>
      <c r="Y24" s="311"/>
      <c r="Z24" s="306"/>
      <c r="AA24" s="310"/>
      <c r="AB24" s="311"/>
      <c r="AC24" s="306"/>
      <c r="AD24" s="310"/>
      <c r="AE24" s="311"/>
      <c r="AF24" s="306"/>
      <c r="AG24" s="310"/>
      <c r="AH24" s="311"/>
      <c r="AI24" s="306"/>
      <c r="AJ24" s="310"/>
      <c r="AK24" s="311"/>
      <c r="AL24" s="306"/>
      <c r="AM24" s="310"/>
      <c r="AN24" s="311"/>
      <c r="AO24" s="306"/>
      <c r="AP24" s="310"/>
      <c r="AQ24" s="311"/>
      <c r="AR24" s="306"/>
      <c r="AS24" s="310"/>
      <c r="AT24" s="311"/>
      <c r="AU24" s="306"/>
      <c r="AV24" s="310"/>
      <c r="AW24" s="311"/>
      <c r="AX24" s="306"/>
      <c r="AY24" s="310"/>
      <c r="AZ24" s="311"/>
      <c r="BA24" s="306"/>
      <c r="BB24" s="310"/>
      <c r="BC24" s="311"/>
      <c r="BD24" s="306"/>
      <c r="BE24" s="312"/>
      <c r="BF24" s="312"/>
      <c r="BG24" s="312"/>
      <c r="BH24" s="312"/>
      <c r="BI24" s="312"/>
      <c r="BJ24" s="312"/>
      <c r="BK24" s="312"/>
      <c r="BL24" s="312"/>
      <c r="BM24" s="312"/>
      <c r="BN24" s="312"/>
      <c r="BO24" s="312"/>
      <c r="BP24" s="312"/>
      <c r="BQ24" s="312"/>
      <c r="BR24" s="312"/>
      <c r="BS24" s="312"/>
      <c r="BT24" s="312"/>
      <c r="BU24" s="312"/>
      <c r="BV24" s="312"/>
      <c r="BW24" s="312"/>
      <c r="BX24" s="312"/>
      <c r="BY24" s="312"/>
      <c r="BZ24" s="312"/>
      <c r="CA24" s="312"/>
      <c r="CB24" s="312"/>
      <c r="CC24" s="312"/>
      <c r="CD24" s="312"/>
      <c r="CE24" s="312"/>
      <c r="CF24" s="312"/>
      <c r="CG24" s="312"/>
      <c r="CH24" s="312"/>
      <c r="CI24" s="312"/>
      <c r="CJ24" s="312"/>
      <c r="CK24" s="312"/>
      <c r="CL24" s="312"/>
      <c r="CM24" s="312"/>
      <c r="CN24" s="312"/>
      <c r="CO24" s="312"/>
      <c r="CP24" s="312"/>
      <c r="CQ24" s="312"/>
      <c r="CR24" s="312"/>
    </row>
    <row r="25" spans="1:96" s="300" customFormat="1" ht="15.75" customHeight="1">
      <c r="A25" s="313"/>
      <c r="B25" s="305" t="s">
        <v>670</v>
      </c>
      <c r="C25" s="311">
        <v>3536</v>
      </c>
      <c r="D25" s="311">
        <v>3834</v>
      </c>
      <c r="E25" s="306">
        <f t="shared" si="0"/>
        <v>8.427601809954751</v>
      </c>
      <c r="F25" s="310">
        <v>7121</v>
      </c>
      <c r="G25" s="311">
        <v>7606.5</v>
      </c>
      <c r="H25" s="306">
        <f t="shared" si="1"/>
        <v>6.8178626597388</v>
      </c>
      <c r="I25" s="310">
        <v>3537.5</v>
      </c>
      <c r="J25" s="311">
        <v>3806</v>
      </c>
      <c r="K25" s="306">
        <f t="shared" si="2"/>
        <v>7.590106007067138</v>
      </c>
      <c r="L25" s="310">
        <v>7401.5</v>
      </c>
      <c r="M25" s="311">
        <v>7880</v>
      </c>
      <c r="N25" s="306">
        <f t="shared" si="3"/>
        <v>6.46490576234547</v>
      </c>
      <c r="O25" s="310"/>
      <c r="P25" s="311"/>
      <c r="Q25" s="306"/>
      <c r="R25" s="310"/>
      <c r="S25" s="311"/>
      <c r="T25" s="306"/>
      <c r="U25" s="310"/>
      <c r="V25" s="311"/>
      <c r="W25" s="306"/>
      <c r="X25" s="310"/>
      <c r="Y25" s="311"/>
      <c r="Z25" s="306"/>
      <c r="AA25" s="310"/>
      <c r="AB25" s="311"/>
      <c r="AC25" s="306"/>
      <c r="AD25" s="310"/>
      <c r="AE25" s="311"/>
      <c r="AF25" s="306"/>
      <c r="AG25" s="310"/>
      <c r="AH25" s="311"/>
      <c r="AI25" s="306"/>
      <c r="AJ25" s="310"/>
      <c r="AK25" s="311"/>
      <c r="AL25" s="306"/>
      <c r="AM25" s="310"/>
      <c r="AN25" s="311"/>
      <c r="AO25" s="306"/>
      <c r="AP25" s="310"/>
      <c r="AQ25" s="311"/>
      <c r="AR25" s="306"/>
      <c r="AS25" s="310"/>
      <c r="AT25" s="311"/>
      <c r="AU25" s="306"/>
      <c r="AV25" s="310"/>
      <c r="AW25" s="311"/>
      <c r="AX25" s="306"/>
      <c r="AY25" s="310"/>
      <c r="AZ25" s="311"/>
      <c r="BA25" s="306"/>
      <c r="BB25" s="310"/>
      <c r="BC25" s="311"/>
      <c r="BD25" s="306"/>
      <c r="BE25" s="312"/>
      <c r="BF25" s="312"/>
      <c r="BG25" s="312"/>
      <c r="BH25" s="312"/>
      <c r="BI25" s="312"/>
      <c r="BJ25" s="312"/>
      <c r="BK25" s="312"/>
      <c r="BL25" s="312"/>
      <c r="BM25" s="312"/>
      <c r="BN25" s="312"/>
      <c r="BO25" s="312"/>
      <c r="BP25" s="312"/>
      <c r="BQ25" s="312"/>
      <c r="BR25" s="312"/>
      <c r="BS25" s="312"/>
      <c r="BT25" s="312"/>
      <c r="BU25" s="312"/>
      <c r="BV25" s="312"/>
      <c r="BW25" s="312"/>
      <c r="BX25" s="312"/>
      <c r="BY25" s="312"/>
      <c r="BZ25" s="312"/>
      <c r="CA25" s="312"/>
      <c r="CB25" s="312"/>
      <c r="CC25" s="312"/>
      <c r="CD25" s="312"/>
      <c r="CE25" s="312"/>
      <c r="CF25" s="312"/>
      <c r="CG25" s="312"/>
      <c r="CH25" s="312"/>
      <c r="CI25" s="312"/>
      <c r="CJ25" s="312"/>
      <c r="CK25" s="312"/>
      <c r="CL25" s="312"/>
      <c r="CM25" s="312"/>
      <c r="CN25" s="312"/>
      <c r="CO25" s="312"/>
      <c r="CP25" s="312"/>
      <c r="CQ25" s="312"/>
      <c r="CR25" s="312"/>
    </row>
    <row r="26" spans="1:96" s="300" customFormat="1" ht="15.75" customHeight="1">
      <c r="A26" s="313"/>
      <c r="B26" s="305" t="s">
        <v>1041</v>
      </c>
      <c r="C26" s="311">
        <v>3851</v>
      </c>
      <c r="D26" s="311">
        <v>4468</v>
      </c>
      <c r="E26" s="306">
        <f t="shared" si="0"/>
        <v>16.02181251622955</v>
      </c>
      <c r="F26" s="310">
        <v>7437</v>
      </c>
      <c r="G26" s="311">
        <v>8609</v>
      </c>
      <c r="H26" s="306">
        <f t="shared" si="1"/>
        <v>15.759042624714267</v>
      </c>
      <c r="I26" s="310">
        <v>4308</v>
      </c>
      <c r="J26" s="311">
        <v>4357</v>
      </c>
      <c r="K26" s="306">
        <f t="shared" si="2"/>
        <v>1.137418755803157</v>
      </c>
      <c r="L26" s="310">
        <v>8196</v>
      </c>
      <c r="M26" s="311">
        <v>8245</v>
      </c>
      <c r="N26" s="306">
        <f t="shared" si="3"/>
        <v>0.5978526110297706</v>
      </c>
      <c r="O26" s="311"/>
      <c r="P26" s="311"/>
      <c r="Q26" s="306"/>
      <c r="R26" s="311"/>
      <c r="S26" s="311"/>
      <c r="T26" s="306"/>
      <c r="U26" s="311"/>
      <c r="V26" s="311"/>
      <c r="W26" s="306"/>
      <c r="X26" s="311"/>
      <c r="Y26" s="311"/>
      <c r="Z26" s="306"/>
      <c r="AA26" s="311"/>
      <c r="AB26" s="311"/>
      <c r="AC26" s="306"/>
      <c r="AD26" s="311"/>
      <c r="AE26" s="311"/>
      <c r="AF26" s="306"/>
      <c r="AG26" s="311"/>
      <c r="AH26" s="311"/>
      <c r="AI26" s="306"/>
      <c r="AJ26" s="311"/>
      <c r="AK26" s="311"/>
      <c r="AL26" s="306"/>
      <c r="AM26" s="311"/>
      <c r="AN26" s="311"/>
      <c r="AO26" s="306"/>
      <c r="AP26" s="311"/>
      <c r="AQ26" s="311"/>
      <c r="AR26" s="306"/>
      <c r="AS26" s="311"/>
      <c r="AT26" s="311"/>
      <c r="AU26" s="306"/>
      <c r="AV26" s="311"/>
      <c r="AW26" s="311"/>
      <c r="AX26" s="306"/>
      <c r="AY26" s="311"/>
      <c r="AZ26" s="311"/>
      <c r="BA26" s="306"/>
      <c r="BB26" s="311"/>
      <c r="BC26" s="311"/>
      <c r="BD26" s="306"/>
      <c r="BE26" s="312"/>
      <c r="BF26" s="312"/>
      <c r="BG26" s="312"/>
      <c r="BH26" s="312"/>
      <c r="BI26" s="312"/>
      <c r="BJ26" s="312"/>
      <c r="BK26" s="312"/>
      <c r="BL26" s="312"/>
      <c r="BM26" s="312"/>
      <c r="BN26" s="312"/>
      <c r="BO26" s="312"/>
      <c r="BP26" s="312"/>
      <c r="BQ26" s="312"/>
      <c r="BR26" s="312"/>
      <c r="BS26" s="312"/>
      <c r="BT26" s="312"/>
      <c r="BU26" s="312"/>
      <c r="BV26" s="312"/>
      <c r="BW26" s="312"/>
      <c r="BX26" s="312"/>
      <c r="BY26" s="312"/>
      <c r="BZ26" s="312"/>
      <c r="CA26" s="312"/>
      <c r="CB26" s="312"/>
      <c r="CC26" s="312"/>
      <c r="CD26" s="312"/>
      <c r="CE26" s="312"/>
      <c r="CF26" s="312"/>
      <c r="CG26" s="312"/>
      <c r="CH26" s="312"/>
      <c r="CI26" s="312"/>
      <c r="CJ26" s="312"/>
      <c r="CK26" s="312"/>
      <c r="CL26" s="312"/>
      <c r="CM26" s="312"/>
      <c r="CN26" s="312"/>
      <c r="CO26" s="312"/>
      <c r="CP26" s="312"/>
      <c r="CQ26" s="312"/>
      <c r="CR26" s="312"/>
    </row>
    <row r="27" spans="1:96" s="300" customFormat="1" ht="15.75" customHeight="1">
      <c r="A27" s="313"/>
      <c r="B27" s="305" t="s">
        <v>671</v>
      </c>
      <c r="C27" s="311">
        <v>2220</v>
      </c>
      <c r="D27" s="311">
        <v>2430</v>
      </c>
      <c r="E27" s="306">
        <f t="shared" si="0"/>
        <v>9.45945945945946</v>
      </c>
      <c r="F27" s="310">
        <v>6840</v>
      </c>
      <c r="G27" s="311">
        <v>7380</v>
      </c>
      <c r="H27" s="306">
        <f t="shared" si="1"/>
        <v>7.894736842105263</v>
      </c>
      <c r="I27" s="310">
        <v>0</v>
      </c>
      <c r="J27" s="311">
        <v>0</v>
      </c>
      <c r="K27" s="306">
        <f t="shared" si="2"/>
        <v>0</v>
      </c>
      <c r="L27" s="310">
        <v>0</v>
      </c>
      <c r="M27" s="311">
        <v>0</v>
      </c>
      <c r="N27" s="306"/>
      <c r="O27" s="310"/>
      <c r="P27" s="311"/>
      <c r="Q27" s="306"/>
      <c r="R27" s="310"/>
      <c r="S27" s="311"/>
      <c r="T27" s="306"/>
      <c r="U27" s="310"/>
      <c r="V27" s="311"/>
      <c r="W27" s="306"/>
      <c r="X27" s="310"/>
      <c r="Y27" s="311"/>
      <c r="Z27" s="306"/>
      <c r="AA27" s="310"/>
      <c r="AB27" s="311"/>
      <c r="AC27" s="306"/>
      <c r="AD27" s="310"/>
      <c r="AE27" s="311"/>
      <c r="AF27" s="306"/>
      <c r="AG27" s="310"/>
      <c r="AH27" s="311"/>
      <c r="AI27" s="306"/>
      <c r="AJ27" s="310"/>
      <c r="AK27" s="311"/>
      <c r="AL27" s="306"/>
      <c r="AM27" s="310"/>
      <c r="AN27" s="311"/>
      <c r="AO27" s="306"/>
      <c r="AP27" s="310"/>
      <c r="AQ27" s="311"/>
      <c r="AR27" s="306"/>
      <c r="AS27" s="310"/>
      <c r="AT27" s="311"/>
      <c r="AU27" s="306"/>
      <c r="AV27" s="310"/>
      <c r="AW27" s="311"/>
      <c r="AX27" s="306"/>
      <c r="AY27" s="310"/>
      <c r="AZ27" s="311"/>
      <c r="BA27" s="306"/>
      <c r="BB27" s="310"/>
      <c r="BC27" s="311"/>
      <c r="BD27" s="306"/>
      <c r="BE27" s="312"/>
      <c r="BF27" s="312"/>
      <c r="BG27" s="312"/>
      <c r="BH27" s="312"/>
      <c r="BI27" s="312"/>
      <c r="BJ27" s="312"/>
      <c r="BK27" s="312"/>
      <c r="BL27" s="312"/>
      <c r="BM27" s="312"/>
      <c r="BN27" s="312"/>
      <c r="BO27" s="312"/>
      <c r="BP27" s="312"/>
      <c r="BQ27" s="312"/>
      <c r="BR27" s="312"/>
      <c r="BS27" s="312"/>
      <c r="BT27" s="312"/>
      <c r="BU27" s="312"/>
      <c r="BV27" s="312"/>
      <c r="BW27" s="312"/>
      <c r="BX27" s="312"/>
      <c r="BY27" s="312"/>
      <c r="BZ27" s="312"/>
      <c r="CA27" s="312"/>
      <c r="CB27" s="312"/>
      <c r="CC27" s="312"/>
      <c r="CD27" s="312"/>
      <c r="CE27" s="312"/>
      <c r="CF27" s="312"/>
      <c r="CG27" s="312"/>
      <c r="CH27" s="312"/>
      <c r="CI27" s="312"/>
      <c r="CJ27" s="312"/>
      <c r="CK27" s="312"/>
      <c r="CL27" s="312"/>
      <c r="CM27" s="312"/>
      <c r="CN27" s="312"/>
      <c r="CO27" s="312"/>
      <c r="CP27" s="312"/>
      <c r="CQ27" s="312"/>
      <c r="CR27" s="312"/>
    </row>
    <row r="28" spans="1:96" s="300" customFormat="1" ht="15.75" customHeight="1">
      <c r="A28" s="313"/>
      <c r="B28" s="305" t="s">
        <v>672</v>
      </c>
      <c r="C28" s="311"/>
      <c r="D28" s="311"/>
      <c r="E28" s="306">
        <f t="shared" si="0"/>
        <v>0</v>
      </c>
      <c r="F28" s="310"/>
      <c r="G28" s="311"/>
      <c r="H28" s="306">
        <f t="shared" si="1"/>
        <v>0</v>
      </c>
      <c r="I28" s="310"/>
      <c r="J28" s="311"/>
      <c r="K28" s="306"/>
      <c r="L28" s="310"/>
      <c r="M28" s="311"/>
      <c r="N28" s="306"/>
      <c r="O28" s="310"/>
      <c r="P28" s="311"/>
      <c r="Q28" s="306"/>
      <c r="R28" s="310"/>
      <c r="S28" s="311"/>
      <c r="T28" s="306"/>
      <c r="U28" s="310"/>
      <c r="V28" s="311"/>
      <c r="W28" s="306"/>
      <c r="X28" s="310"/>
      <c r="Y28" s="311"/>
      <c r="Z28" s="306"/>
      <c r="AA28" s="310"/>
      <c r="AB28" s="311"/>
      <c r="AC28" s="306"/>
      <c r="AD28" s="310"/>
      <c r="AE28" s="311"/>
      <c r="AF28" s="306"/>
      <c r="AG28" s="310"/>
      <c r="AH28" s="311"/>
      <c r="AI28" s="306"/>
      <c r="AJ28" s="310"/>
      <c r="AK28" s="311"/>
      <c r="AL28" s="306"/>
      <c r="AM28" s="310"/>
      <c r="AN28" s="311"/>
      <c r="AO28" s="306"/>
      <c r="AP28" s="310"/>
      <c r="AQ28" s="311"/>
      <c r="AR28" s="306"/>
      <c r="AS28" s="310"/>
      <c r="AT28" s="311"/>
      <c r="AU28" s="306"/>
      <c r="AV28" s="310"/>
      <c r="AW28" s="311"/>
      <c r="AX28" s="306"/>
      <c r="AY28" s="310"/>
      <c r="AZ28" s="311"/>
      <c r="BA28" s="306"/>
      <c r="BB28" s="310"/>
      <c r="BC28" s="311"/>
      <c r="BD28" s="306"/>
      <c r="BE28" s="312"/>
      <c r="BF28" s="312"/>
      <c r="BG28" s="312"/>
      <c r="BH28" s="312"/>
      <c r="BI28" s="312"/>
      <c r="BJ28" s="312"/>
      <c r="BK28" s="312"/>
      <c r="BL28" s="312"/>
      <c r="BM28" s="312"/>
      <c r="BN28" s="312"/>
      <c r="BO28" s="312"/>
      <c r="BP28" s="312"/>
      <c r="BQ28" s="312"/>
      <c r="BR28" s="312"/>
      <c r="BS28" s="312"/>
      <c r="BT28" s="312"/>
      <c r="BU28" s="312"/>
      <c r="BV28" s="312"/>
      <c r="BW28" s="312"/>
      <c r="BX28" s="312"/>
      <c r="BY28" s="312"/>
      <c r="BZ28" s="312"/>
      <c r="CA28" s="312"/>
      <c r="CB28" s="312"/>
      <c r="CC28" s="312"/>
      <c r="CD28" s="312"/>
      <c r="CE28" s="312"/>
      <c r="CF28" s="312"/>
      <c r="CG28" s="312"/>
      <c r="CH28" s="312"/>
      <c r="CI28" s="312"/>
      <c r="CJ28" s="312"/>
      <c r="CK28" s="312"/>
      <c r="CL28" s="312"/>
      <c r="CM28" s="312"/>
      <c r="CN28" s="312"/>
      <c r="CO28" s="312"/>
      <c r="CP28" s="312"/>
      <c r="CQ28" s="312"/>
      <c r="CR28" s="312"/>
    </row>
    <row r="29" spans="1:96" s="300" customFormat="1" ht="15.75" customHeight="1">
      <c r="A29" s="313"/>
      <c r="B29" s="305" t="s">
        <v>673</v>
      </c>
      <c r="C29" s="311">
        <v>2040</v>
      </c>
      <c r="D29" s="311">
        <v>2160</v>
      </c>
      <c r="E29" s="306">
        <f t="shared" si="0"/>
        <v>5.88235294117647</v>
      </c>
      <c r="F29" s="310">
        <v>3300</v>
      </c>
      <c r="G29" s="311">
        <v>3540</v>
      </c>
      <c r="H29" s="306">
        <f t="shared" si="1"/>
        <v>7.2727272727272725</v>
      </c>
      <c r="I29" s="310"/>
      <c r="J29" s="311"/>
      <c r="K29" s="306"/>
      <c r="L29" s="310"/>
      <c r="M29" s="311"/>
      <c r="N29" s="306"/>
      <c r="O29" s="310"/>
      <c r="P29" s="311"/>
      <c r="Q29" s="306"/>
      <c r="R29" s="310"/>
      <c r="S29" s="311"/>
      <c r="T29" s="306"/>
      <c r="U29" s="310"/>
      <c r="V29" s="311"/>
      <c r="W29" s="306"/>
      <c r="X29" s="310"/>
      <c r="Y29" s="311"/>
      <c r="Z29" s="306"/>
      <c r="AA29" s="310"/>
      <c r="AB29" s="311"/>
      <c r="AC29" s="306"/>
      <c r="AD29" s="310"/>
      <c r="AE29" s="311"/>
      <c r="AF29" s="306"/>
      <c r="AG29" s="310"/>
      <c r="AH29" s="311"/>
      <c r="AI29" s="306"/>
      <c r="AJ29" s="310"/>
      <c r="AK29" s="311"/>
      <c r="AL29" s="306"/>
      <c r="AM29" s="310"/>
      <c r="AN29" s="311"/>
      <c r="AO29" s="306"/>
      <c r="AP29" s="310"/>
      <c r="AQ29" s="311"/>
      <c r="AR29" s="306"/>
      <c r="AS29" s="310"/>
      <c r="AT29" s="311"/>
      <c r="AU29" s="306"/>
      <c r="AV29" s="310"/>
      <c r="AW29" s="311"/>
      <c r="AX29" s="306"/>
      <c r="AY29" s="310"/>
      <c r="AZ29" s="311"/>
      <c r="BA29" s="306"/>
      <c r="BB29" s="310"/>
      <c r="BC29" s="311"/>
      <c r="BD29" s="306"/>
      <c r="BE29" s="312"/>
      <c r="BF29" s="312"/>
      <c r="BG29" s="312"/>
      <c r="BH29" s="312"/>
      <c r="BI29" s="312"/>
      <c r="BJ29" s="312"/>
      <c r="BK29" s="312"/>
      <c r="BL29" s="312"/>
      <c r="BM29" s="312"/>
      <c r="BN29" s="312"/>
      <c r="BO29" s="312"/>
      <c r="BP29" s="312"/>
      <c r="BQ29" s="312"/>
      <c r="BR29" s="312"/>
      <c r="BS29" s="312"/>
      <c r="BT29" s="312"/>
      <c r="BU29" s="312"/>
      <c r="BV29" s="312"/>
      <c r="BW29" s="312"/>
      <c r="BX29" s="312"/>
      <c r="BY29" s="312"/>
      <c r="BZ29" s="312"/>
      <c r="CA29" s="312"/>
      <c r="CB29" s="312"/>
      <c r="CC29" s="312"/>
      <c r="CD29" s="312"/>
      <c r="CE29" s="312"/>
      <c r="CF29" s="312"/>
      <c r="CG29" s="312"/>
      <c r="CH29" s="312"/>
      <c r="CI29" s="312"/>
      <c r="CJ29" s="312"/>
      <c r="CK29" s="312"/>
      <c r="CL29" s="312"/>
      <c r="CM29" s="312"/>
      <c r="CN29" s="312"/>
      <c r="CO29" s="312"/>
      <c r="CP29" s="312"/>
      <c r="CQ29" s="312"/>
      <c r="CR29" s="312"/>
    </row>
    <row r="30" spans="1:96" s="300" customFormat="1" ht="15.75" customHeight="1">
      <c r="A30" s="313"/>
      <c r="B30" s="305" t="s">
        <v>76</v>
      </c>
      <c r="C30" s="311">
        <v>1600</v>
      </c>
      <c r="D30" s="311">
        <v>1738</v>
      </c>
      <c r="E30" s="306">
        <f t="shared" si="0"/>
        <v>8.625</v>
      </c>
      <c r="F30" s="310">
        <v>3300</v>
      </c>
      <c r="G30" s="311">
        <v>3490</v>
      </c>
      <c r="H30" s="306">
        <f t="shared" si="1"/>
        <v>5.757575757575758</v>
      </c>
      <c r="I30" s="310"/>
      <c r="J30" s="311"/>
      <c r="K30" s="306"/>
      <c r="L30" s="310"/>
      <c r="M30" s="311"/>
      <c r="N30" s="306"/>
      <c r="O30" s="310"/>
      <c r="P30" s="311"/>
      <c r="Q30" s="306"/>
      <c r="R30" s="310"/>
      <c r="S30" s="311"/>
      <c r="T30" s="306"/>
      <c r="U30" s="310"/>
      <c r="V30" s="311"/>
      <c r="W30" s="306"/>
      <c r="X30" s="310"/>
      <c r="Y30" s="311"/>
      <c r="Z30" s="306"/>
      <c r="AA30" s="310"/>
      <c r="AB30" s="311"/>
      <c r="AC30" s="306"/>
      <c r="AD30" s="310"/>
      <c r="AE30" s="311"/>
      <c r="AF30" s="306"/>
      <c r="AG30" s="310"/>
      <c r="AH30" s="311"/>
      <c r="AI30" s="306"/>
      <c r="AJ30" s="310"/>
      <c r="AK30" s="311"/>
      <c r="AL30" s="306"/>
      <c r="AM30" s="310"/>
      <c r="AN30" s="311"/>
      <c r="AO30" s="306"/>
      <c r="AP30" s="310"/>
      <c r="AQ30" s="311"/>
      <c r="AR30" s="306"/>
      <c r="AS30" s="310"/>
      <c r="AT30" s="311"/>
      <c r="AU30" s="306"/>
      <c r="AV30" s="310"/>
      <c r="AW30" s="311"/>
      <c r="AX30" s="306"/>
      <c r="AY30" s="310"/>
      <c r="AZ30" s="311"/>
      <c r="BA30" s="306"/>
      <c r="BB30" s="310"/>
      <c r="BC30" s="311"/>
      <c r="BD30" s="306"/>
      <c r="BE30" s="312"/>
      <c r="BF30" s="312"/>
      <c r="BG30" s="312"/>
      <c r="BH30" s="312"/>
      <c r="BI30" s="312"/>
      <c r="BJ30" s="312"/>
      <c r="BK30" s="312"/>
      <c r="BL30" s="312"/>
      <c r="BM30" s="312"/>
      <c r="BN30" s="312"/>
      <c r="BO30" s="312"/>
      <c r="BP30" s="312"/>
      <c r="BQ30" s="312"/>
      <c r="BR30" s="312"/>
      <c r="BS30" s="312"/>
      <c r="BT30" s="312"/>
      <c r="BU30" s="312"/>
      <c r="BV30" s="312"/>
      <c r="BW30" s="312"/>
      <c r="BX30" s="312"/>
      <c r="BY30" s="312"/>
      <c r="BZ30" s="312"/>
      <c r="CA30" s="312"/>
      <c r="CB30" s="312"/>
      <c r="CC30" s="312"/>
      <c r="CD30" s="312"/>
      <c r="CE30" s="312"/>
      <c r="CF30" s="312"/>
      <c r="CG30" s="312"/>
      <c r="CH30" s="312"/>
      <c r="CI30" s="312"/>
      <c r="CJ30" s="312"/>
      <c r="CK30" s="312"/>
      <c r="CL30" s="312"/>
      <c r="CM30" s="312"/>
      <c r="CN30" s="312"/>
      <c r="CO30" s="312"/>
      <c r="CP30" s="312"/>
      <c r="CQ30" s="312"/>
      <c r="CR30" s="312"/>
    </row>
    <row r="31" spans="1:96" s="300" customFormat="1" ht="15.75" customHeight="1">
      <c r="A31" s="313"/>
      <c r="B31" s="305" t="s">
        <v>473</v>
      </c>
      <c r="C31" s="311">
        <v>1650</v>
      </c>
      <c r="D31" s="311">
        <v>1760</v>
      </c>
      <c r="E31" s="306">
        <f t="shared" si="0"/>
        <v>6.666666666666667</v>
      </c>
      <c r="F31" s="310">
        <v>3300</v>
      </c>
      <c r="G31" s="311">
        <v>3508</v>
      </c>
      <c r="H31" s="306">
        <f t="shared" si="1"/>
        <v>6.303030303030304</v>
      </c>
      <c r="I31" s="310"/>
      <c r="J31" s="311"/>
      <c r="K31" s="306"/>
      <c r="L31" s="310"/>
      <c r="M31" s="311"/>
      <c r="N31" s="306"/>
      <c r="O31" s="310"/>
      <c r="P31" s="311"/>
      <c r="Q31" s="306"/>
      <c r="R31" s="310"/>
      <c r="S31" s="328"/>
      <c r="T31" s="306"/>
      <c r="U31" s="310"/>
      <c r="V31" s="311"/>
      <c r="W31" s="306"/>
      <c r="X31" s="310"/>
      <c r="Y31" s="311"/>
      <c r="Z31" s="306"/>
      <c r="AA31" s="310"/>
      <c r="AB31" s="311"/>
      <c r="AC31" s="306"/>
      <c r="AD31" s="310"/>
      <c r="AE31" s="311"/>
      <c r="AF31" s="306"/>
      <c r="AG31" s="310"/>
      <c r="AH31" s="311"/>
      <c r="AI31" s="306"/>
      <c r="AJ31" s="310"/>
      <c r="AK31" s="311"/>
      <c r="AL31" s="306"/>
      <c r="AM31" s="310"/>
      <c r="AN31" s="311"/>
      <c r="AO31" s="306"/>
      <c r="AP31" s="310"/>
      <c r="AQ31" s="311"/>
      <c r="AR31" s="306"/>
      <c r="AS31" s="310"/>
      <c r="AT31" s="311"/>
      <c r="AU31" s="306"/>
      <c r="AV31" s="310"/>
      <c r="AW31" s="311"/>
      <c r="AX31" s="306"/>
      <c r="AY31" s="310"/>
      <c r="AZ31" s="311"/>
      <c r="BA31" s="306"/>
      <c r="BB31" s="310"/>
      <c r="BC31" s="311"/>
      <c r="BD31" s="306"/>
      <c r="BE31" s="312"/>
      <c r="BF31" s="312"/>
      <c r="BG31" s="312"/>
      <c r="BH31" s="312"/>
      <c r="BI31" s="312"/>
      <c r="BJ31" s="312"/>
      <c r="BK31" s="312"/>
      <c r="BL31" s="312"/>
      <c r="BM31" s="312"/>
      <c r="BN31" s="312"/>
      <c r="BO31" s="312"/>
      <c r="BP31" s="312"/>
      <c r="BQ31" s="312"/>
      <c r="BR31" s="312"/>
      <c r="BS31" s="312"/>
      <c r="BT31" s="312"/>
      <c r="BU31" s="312"/>
      <c r="BV31" s="312"/>
      <c r="BW31" s="312"/>
      <c r="BX31" s="312"/>
      <c r="BY31" s="312"/>
      <c r="BZ31" s="312"/>
      <c r="CA31" s="312"/>
      <c r="CB31" s="312"/>
      <c r="CC31" s="312"/>
      <c r="CD31" s="312"/>
      <c r="CE31" s="312"/>
      <c r="CF31" s="312"/>
      <c r="CG31" s="312"/>
      <c r="CH31" s="312"/>
      <c r="CI31" s="312"/>
      <c r="CJ31" s="312"/>
      <c r="CK31" s="312"/>
      <c r="CL31" s="312"/>
      <c r="CM31" s="312"/>
      <c r="CN31" s="312"/>
      <c r="CO31" s="312"/>
      <c r="CP31" s="312"/>
      <c r="CQ31" s="312"/>
      <c r="CR31" s="312"/>
    </row>
    <row r="32" spans="1:96" s="300" customFormat="1" ht="15.75" customHeight="1">
      <c r="A32" s="313"/>
      <c r="B32" s="305" t="s">
        <v>77</v>
      </c>
      <c r="C32" s="311"/>
      <c r="D32" s="311"/>
      <c r="E32" s="306">
        <f t="shared" si="0"/>
        <v>0</v>
      </c>
      <c r="F32" s="310"/>
      <c r="G32" s="311"/>
      <c r="H32" s="306">
        <f t="shared" si="1"/>
        <v>0</v>
      </c>
      <c r="I32" s="310"/>
      <c r="J32" s="311"/>
      <c r="K32" s="306"/>
      <c r="L32" s="310"/>
      <c r="M32" s="311"/>
      <c r="N32" s="306"/>
      <c r="O32" s="310"/>
      <c r="P32" s="311"/>
      <c r="Q32" s="306"/>
      <c r="R32" s="310"/>
      <c r="S32" s="311"/>
      <c r="T32" s="306"/>
      <c r="U32" s="310"/>
      <c r="V32" s="311"/>
      <c r="W32" s="306"/>
      <c r="X32" s="310"/>
      <c r="Y32" s="311"/>
      <c r="Z32" s="306"/>
      <c r="AA32" s="310"/>
      <c r="AB32" s="311"/>
      <c r="AC32" s="306"/>
      <c r="AD32" s="310"/>
      <c r="AE32" s="311"/>
      <c r="AF32" s="306"/>
      <c r="AG32" s="310"/>
      <c r="AH32" s="311"/>
      <c r="AI32" s="306"/>
      <c r="AJ32" s="310"/>
      <c r="AK32" s="311"/>
      <c r="AL32" s="306"/>
      <c r="AM32" s="310"/>
      <c r="AN32" s="311"/>
      <c r="AO32" s="306"/>
      <c r="AP32" s="310"/>
      <c r="AQ32" s="311"/>
      <c r="AR32" s="306"/>
      <c r="AS32" s="310"/>
      <c r="AT32" s="311"/>
      <c r="AU32" s="306"/>
      <c r="AV32" s="310"/>
      <c r="AW32" s="311"/>
      <c r="AX32" s="306"/>
      <c r="AY32" s="310"/>
      <c r="AZ32" s="311"/>
      <c r="BA32" s="306"/>
      <c r="BB32" s="310"/>
      <c r="BC32" s="311"/>
      <c r="BD32" s="306"/>
      <c r="BE32" s="312"/>
      <c r="BF32" s="312"/>
      <c r="BG32" s="312"/>
      <c r="BH32" s="312"/>
      <c r="BI32" s="312"/>
      <c r="BJ32" s="312"/>
      <c r="BK32" s="312"/>
      <c r="BL32" s="312"/>
      <c r="BM32" s="312"/>
      <c r="BN32" s="312"/>
      <c r="BO32" s="312"/>
      <c r="BP32" s="312"/>
      <c r="BQ32" s="312"/>
      <c r="BR32" s="312"/>
      <c r="BS32" s="312"/>
      <c r="BT32" s="312"/>
      <c r="BU32" s="312"/>
      <c r="BV32" s="312"/>
      <c r="BW32" s="312"/>
      <c r="BX32" s="312"/>
      <c r="BY32" s="312"/>
      <c r="BZ32" s="312"/>
      <c r="CA32" s="312"/>
      <c r="CB32" s="312"/>
      <c r="CC32" s="312"/>
      <c r="CD32" s="312"/>
      <c r="CE32" s="312"/>
      <c r="CF32" s="312"/>
      <c r="CG32" s="312"/>
      <c r="CH32" s="312"/>
      <c r="CI32" s="312"/>
      <c r="CJ32" s="312"/>
      <c r="CK32" s="312"/>
      <c r="CL32" s="312"/>
      <c r="CM32" s="312"/>
      <c r="CN32" s="312"/>
      <c r="CO32" s="312"/>
      <c r="CP32" s="312"/>
      <c r="CQ32" s="312"/>
      <c r="CR32" s="312"/>
    </row>
    <row r="33" spans="1:96" s="300" customFormat="1" ht="15.75" customHeight="1">
      <c r="A33" s="313"/>
      <c r="B33" s="305" t="s">
        <v>63</v>
      </c>
      <c r="C33" s="311"/>
      <c r="D33" s="311"/>
      <c r="E33" s="306">
        <f t="shared" si="0"/>
        <v>0</v>
      </c>
      <c r="F33" s="310"/>
      <c r="G33" s="311"/>
      <c r="H33" s="306">
        <f t="shared" si="1"/>
        <v>0</v>
      </c>
      <c r="I33" s="310"/>
      <c r="J33" s="311"/>
      <c r="K33" s="306"/>
      <c r="L33" s="310"/>
      <c r="M33" s="311"/>
      <c r="N33" s="306"/>
      <c r="O33" s="310"/>
      <c r="P33" s="311"/>
      <c r="Q33" s="306"/>
      <c r="R33" s="310"/>
      <c r="S33" s="311"/>
      <c r="T33" s="306"/>
      <c r="U33" s="310"/>
      <c r="V33" s="311"/>
      <c r="W33" s="306"/>
      <c r="X33" s="310"/>
      <c r="Y33" s="311"/>
      <c r="Z33" s="306"/>
      <c r="AA33" s="310"/>
      <c r="AB33" s="311"/>
      <c r="AC33" s="306"/>
      <c r="AD33" s="310"/>
      <c r="AE33" s="311"/>
      <c r="AF33" s="306"/>
      <c r="AG33" s="310"/>
      <c r="AH33" s="311"/>
      <c r="AI33" s="306"/>
      <c r="AJ33" s="310"/>
      <c r="AK33" s="311"/>
      <c r="AL33" s="306"/>
      <c r="AM33" s="310"/>
      <c r="AN33" s="311"/>
      <c r="AO33" s="306"/>
      <c r="AP33" s="310"/>
      <c r="AQ33" s="311"/>
      <c r="AR33" s="306"/>
      <c r="AS33" s="310"/>
      <c r="AT33" s="311"/>
      <c r="AU33" s="306"/>
      <c r="AV33" s="310"/>
      <c r="AW33" s="311"/>
      <c r="AX33" s="306"/>
      <c r="AY33" s="310"/>
      <c r="AZ33" s="311"/>
      <c r="BA33" s="306"/>
      <c r="BB33" s="310"/>
      <c r="BC33" s="311"/>
      <c r="BD33" s="306"/>
      <c r="BE33" s="312"/>
      <c r="BF33" s="312"/>
      <c r="BG33" s="312"/>
      <c r="BH33" s="312"/>
      <c r="BI33" s="312"/>
      <c r="BJ33" s="312"/>
      <c r="BK33" s="312"/>
      <c r="BL33" s="312"/>
      <c r="BM33" s="312"/>
      <c r="BN33" s="312"/>
      <c r="BO33" s="312"/>
      <c r="BP33" s="312"/>
      <c r="BQ33" s="312"/>
      <c r="BR33" s="312"/>
      <c r="BS33" s="312"/>
      <c r="BT33" s="312"/>
      <c r="BU33" s="312"/>
      <c r="BV33" s="312"/>
      <c r="BW33" s="312"/>
      <c r="BX33" s="312"/>
      <c r="BY33" s="312"/>
      <c r="BZ33" s="312"/>
      <c r="CA33" s="312"/>
      <c r="CB33" s="312"/>
      <c r="CC33" s="312"/>
      <c r="CD33" s="312"/>
      <c r="CE33" s="312"/>
      <c r="CF33" s="312"/>
      <c r="CG33" s="312"/>
      <c r="CH33" s="312"/>
      <c r="CI33" s="312"/>
      <c r="CJ33" s="312"/>
      <c r="CK33" s="312"/>
      <c r="CL33" s="312"/>
      <c r="CM33" s="312"/>
      <c r="CN33" s="312"/>
      <c r="CO33" s="312"/>
      <c r="CP33" s="312"/>
      <c r="CQ33" s="312"/>
      <c r="CR33" s="312"/>
    </row>
    <row r="34" spans="1:96" s="300" customFormat="1" ht="15.75" customHeight="1">
      <c r="A34" s="313"/>
      <c r="B34" s="305" t="s">
        <v>64</v>
      </c>
      <c r="C34" s="311"/>
      <c r="D34" s="311"/>
      <c r="E34" s="306">
        <f t="shared" si="0"/>
        <v>0</v>
      </c>
      <c r="F34" s="310"/>
      <c r="G34" s="311"/>
      <c r="H34" s="306">
        <f t="shared" si="1"/>
        <v>0</v>
      </c>
      <c r="I34" s="310"/>
      <c r="J34" s="311"/>
      <c r="K34" s="306"/>
      <c r="L34" s="310"/>
      <c r="M34" s="311"/>
      <c r="N34" s="306"/>
      <c r="O34" s="310"/>
      <c r="P34" s="311"/>
      <c r="Q34" s="306"/>
      <c r="R34" s="310"/>
      <c r="S34" s="311"/>
      <c r="T34" s="306"/>
      <c r="U34" s="310"/>
      <c r="V34" s="311"/>
      <c r="W34" s="306"/>
      <c r="X34" s="310"/>
      <c r="Y34" s="311"/>
      <c r="Z34" s="306"/>
      <c r="AA34" s="310"/>
      <c r="AB34" s="311"/>
      <c r="AC34" s="306"/>
      <c r="AD34" s="310"/>
      <c r="AE34" s="311"/>
      <c r="AF34" s="306"/>
      <c r="AG34" s="310"/>
      <c r="AH34" s="311"/>
      <c r="AI34" s="306"/>
      <c r="AJ34" s="310"/>
      <c r="AK34" s="311"/>
      <c r="AL34" s="306"/>
      <c r="AM34" s="310"/>
      <c r="AN34" s="311"/>
      <c r="AO34" s="306"/>
      <c r="AP34" s="310"/>
      <c r="AQ34" s="311"/>
      <c r="AR34" s="306"/>
      <c r="AS34" s="310"/>
      <c r="AT34" s="311"/>
      <c r="AU34" s="306"/>
      <c r="AV34" s="310"/>
      <c r="AW34" s="311"/>
      <c r="AX34" s="306"/>
      <c r="AY34" s="310"/>
      <c r="AZ34" s="311"/>
      <c r="BA34" s="306"/>
      <c r="BB34" s="310"/>
      <c r="BC34" s="311"/>
      <c r="BD34" s="306"/>
      <c r="BE34" s="312"/>
      <c r="BF34" s="312"/>
      <c r="BG34" s="312"/>
      <c r="BH34" s="312"/>
      <c r="BI34" s="312"/>
      <c r="BJ34" s="312"/>
      <c r="BK34" s="312"/>
      <c r="BL34" s="312"/>
      <c r="BM34" s="312"/>
      <c r="BN34" s="312"/>
      <c r="BO34" s="312"/>
      <c r="BP34" s="312"/>
      <c r="BQ34" s="312"/>
      <c r="BR34" s="312"/>
      <c r="BS34" s="312"/>
      <c r="BT34" s="312"/>
      <c r="BU34" s="312"/>
      <c r="BV34" s="312"/>
      <c r="BW34" s="312"/>
      <c r="BX34" s="312"/>
      <c r="BY34" s="312"/>
      <c r="BZ34" s="312"/>
      <c r="CA34" s="312"/>
      <c r="CB34" s="312"/>
      <c r="CC34" s="312"/>
      <c r="CD34" s="312"/>
      <c r="CE34" s="312"/>
      <c r="CF34" s="312"/>
      <c r="CG34" s="312"/>
      <c r="CH34" s="312"/>
      <c r="CI34" s="312"/>
      <c r="CJ34" s="312"/>
      <c r="CK34" s="312"/>
      <c r="CL34" s="312"/>
      <c r="CM34" s="312"/>
      <c r="CN34" s="312"/>
      <c r="CO34" s="312"/>
      <c r="CP34" s="312"/>
      <c r="CQ34" s="312"/>
      <c r="CR34" s="312"/>
    </row>
    <row r="35" spans="1:96" s="300" customFormat="1" ht="15.75" customHeight="1">
      <c r="A35" s="313"/>
      <c r="B35" s="305" t="s">
        <v>970</v>
      </c>
      <c r="C35" s="311"/>
      <c r="D35" s="311"/>
      <c r="E35" s="306">
        <f t="shared" si="0"/>
        <v>0</v>
      </c>
      <c r="F35" s="310"/>
      <c r="G35" s="311"/>
      <c r="H35" s="306">
        <f t="shared" si="1"/>
        <v>0</v>
      </c>
      <c r="I35" s="310"/>
      <c r="J35" s="311"/>
      <c r="K35" s="306"/>
      <c r="L35" s="310"/>
      <c r="M35" s="311"/>
      <c r="N35" s="306"/>
      <c r="O35" s="310"/>
      <c r="P35" s="311"/>
      <c r="Q35" s="306"/>
      <c r="R35" s="310"/>
      <c r="S35" s="311"/>
      <c r="T35" s="306"/>
      <c r="U35" s="310"/>
      <c r="V35" s="311"/>
      <c r="W35" s="306"/>
      <c r="X35" s="310"/>
      <c r="Y35" s="311"/>
      <c r="Z35" s="306"/>
      <c r="AA35" s="310"/>
      <c r="AB35" s="311"/>
      <c r="AC35" s="306"/>
      <c r="AD35" s="310"/>
      <c r="AE35" s="311"/>
      <c r="AF35" s="306"/>
      <c r="AG35" s="310"/>
      <c r="AH35" s="311"/>
      <c r="AI35" s="306"/>
      <c r="AJ35" s="310"/>
      <c r="AK35" s="311"/>
      <c r="AL35" s="306"/>
      <c r="AM35" s="310"/>
      <c r="AN35" s="311"/>
      <c r="AO35" s="306"/>
      <c r="AP35" s="310"/>
      <c r="AQ35" s="311"/>
      <c r="AR35" s="306"/>
      <c r="AS35" s="310"/>
      <c r="AT35" s="311"/>
      <c r="AU35" s="306"/>
      <c r="AV35" s="310"/>
      <c r="AW35" s="311"/>
      <c r="AX35" s="306"/>
      <c r="AY35" s="310"/>
      <c r="AZ35" s="311"/>
      <c r="BA35" s="306"/>
      <c r="BB35" s="310"/>
      <c r="BC35" s="311"/>
      <c r="BD35" s="306"/>
      <c r="BE35" s="312"/>
      <c r="BF35" s="312"/>
      <c r="BG35" s="312"/>
      <c r="BH35" s="312"/>
      <c r="BI35" s="312"/>
      <c r="BJ35" s="312"/>
      <c r="BK35" s="312"/>
      <c r="BL35" s="312"/>
      <c r="BM35" s="312"/>
      <c r="BN35" s="312"/>
      <c r="BO35" s="312"/>
      <c r="BP35" s="312"/>
      <c r="BQ35" s="312"/>
      <c r="BR35" s="312"/>
      <c r="BS35" s="312"/>
      <c r="BT35" s="312"/>
      <c r="BU35" s="312"/>
      <c r="BV35" s="312"/>
      <c r="BW35" s="312"/>
      <c r="BX35" s="312"/>
      <c r="BY35" s="312"/>
      <c r="BZ35" s="312"/>
      <c r="CA35" s="312"/>
      <c r="CB35" s="312"/>
      <c r="CC35" s="312"/>
      <c r="CD35" s="312"/>
      <c r="CE35" s="312"/>
      <c r="CF35" s="312"/>
      <c r="CG35" s="312"/>
      <c r="CH35" s="312"/>
      <c r="CI35" s="312"/>
      <c r="CJ35" s="312"/>
      <c r="CK35" s="312"/>
      <c r="CL35" s="312"/>
      <c r="CM35" s="312"/>
      <c r="CN35" s="312"/>
      <c r="CO35" s="312"/>
      <c r="CP35" s="312"/>
      <c r="CQ35" s="312"/>
      <c r="CR35" s="312"/>
    </row>
    <row r="36" spans="1:96" s="321" customFormat="1" ht="15.75" customHeight="1">
      <c r="A36" s="314"/>
      <c r="B36" s="315"/>
      <c r="C36" s="317"/>
      <c r="D36" s="317"/>
      <c r="E36" s="318">
        <f t="shared" si="0"/>
        <v>0</v>
      </c>
      <c r="F36" s="316"/>
      <c r="G36" s="317"/>
      <c r="H36" s="318">
        <f t="shared" si="1"/>
        <v>0</v>
      </c>
      <c r="I36" s="316"/>
      <c r="J36" s="317"/>
      <c r="K36" s="318"/>
      <c r="L36" s="316"/>
      <c r="M36" s="317"/>
      <c r="N36" s="318"/>
      <c r="O36" s="316">
        <v>6493</v>
      </c>
      <c r="P36" s="317">
        <v>7093.5</v>
      </c>
      <c r="Q36" s="318">
        <f>IF(O36&gt;0,(((P36-O36)/O36)*100),0)</f>
        <v>9.248421376867395</v>
      </c>
      <c r="R36" s="316">
        <v>12901</v>
      </c>
      <c r="S36" s="317">
        <v>14125.5</v>
      </c>
      <c r="T36" s="318">
        <f>IF(R36&gt;0,(((S36-R36)/R36)*100),0)</f>
        <v>9.491512285869312</v>
      </c>
      <c r="U36" s="316">
        <v>12167</v>
      </c>
      <c r="V36" s="317">
        <v>13331</v>
      </c>
      <c r="W36" s="318">
        <f>IF(U36&gt;0,(((V36-U36)/U36)*100),0)</f>
        <v>9.566861181885427</v>
      </c>
      <c r="X36" s="316">
        <v>23809</v>
      </c>
      <c r="Y36" s="317">
        <v>26137</v>
      </c>
      <c r="Z36" s="318">
        <f>IF(X36&gt;0,(((Y36-X36)/X36)*100),0)</f>
        <v>9.777815111932462</v>
      </c>
      <c r="AA36" s="316"/>
      <c r="AB36" s="317"/>
      <c r="AC36" s="318"/>
      <c r="AD36" s="316"/>
      <c r="AE36" s="317"/>
      <c r="AF36" s="318"/>
      <c r="AG36" s="316">
        <v>6770</v>
      </c>
      <c r="AH36" s="317">
        <v>7430</v>
      </c>
      <c r="AI36" s="318">
        <f>IF(AG36&gt;0,(((AH36-AG36)/AG36)*100),0)</f>
        <v>9.748892171344165</v>
      </c>
      <c r="AJ36" s="316">
        <v>13390</v>
      </c>
      <c r="AK36" s="317">
        <v>14710</v>
      </c>
      <c r="AL36" s="318">
        <f>IF(AJ36&gt;0,(((AK36-AJ36)/AJ36)*100),0)</f>
        <v>9.858103061986558</v>
      </c>
      <c r="AM36" s="316"/>
      <c r="AN36" s="317"/>
      <c r="AO36" s="318"/>
      <c r="AP36" s="316"/>
      <c r="AQ36" s="317"/>
      <c r="AR36" s="318"/>
      <c r="AS36" s="316"/>
      <c r="AT36" s="317"/>
      <c r="AU36" s="318"/>
      <c r="AV36" s="316"/>
      <c r="AW36" s="317"/>
      <c r="AX36" s="318"/>
      <c r="AY36" s="316"/>
      <c r="AZ36" s="317"/>
      <c r="BA36" s="318"/>
      <c r="BB36" s="316"/>
      <c r="BC36" s="317"/>
      <c r="BD36" s="318">
        <f>IF(BB36&gt;0,(((BC36-BB36)/BB36)*100),0)</f>
        <v>0</v>
      </c>
      <c r="BE36" s="320"/>
      <c r="BF36" s="320"/>
      <c r="BG36" s="320"/>
      <c r="BH36" s="320"/>
      <c r="BI36" s="320"/>
      <c r="BJ36" s="320"/>
      <c r="BK36" s="320"/>
      <c r="BL36" s="320"/>
      <c r="BM36" s="320"/>
      <c r="BN36" s="320"/>
      <c r="BO36" s="320"/>
      <c r="BP36" s="320"/>
      <c r="BQ36" s="320"/>
      <c r="BR36" s="320"/>
      <c r="BS36" s="320"/>
      <c r="BT36" s="320"/>
      <c r="BU36" s="320"/>
      <c r="BV36" s="320"/>
      <c r="BW36" s="320"/>
      <c r="BX36" s="320"/>
      <c r="BY36" s="320"/>
      <c r="BZ36" s="320"/>
      <c r="CA36" s="320"/>
      <c r="CB36" s="320"/>
      <c r="CC36" s="320"/>
      <c r="CD36" s="320"/>
      <c r="CE36" s="320"/>
      <c r="CF36" s="320"/>
      <c r="CG36" s="320"/>
      <c r="CH36" s="320"/>
      <c r="CI36" s="320"/>
      <c r="CJ36" s="320"/>
      <c r="CK36" s="320"/>
      <c r="CL36" s="320"/>
      <c r="CM36" s="320"/>
      <c r="CN36" s="320"/>
      <c r="CO36" s="320"/>
      <c r="CP36" s="320"/>
      <c r="CQ36" s="320"/>
      <c r="CR36" s="320"/>
    </row>
    <row r="37" spans="1:96" s="300" customFormat="1" ht="15.75" customHeight="1">
      <c r="A37" s="304" t="s">
        <v>957</v>
      </c>
      <c r="B37" s="305" t="s">
        <v>665</v>
      </c>
      <c r="C37" s="311">
        <v>6498</v>
      </c>
      <c r="D37" s="311">
        <v>6954</v>
      </c>
      <c r="E37" s="306">
        <f t="shared" si="0"/>
        <v>7.017543859649122</v>
      </c>
      <c r="F37" s="310">
        <v>16028</v>
      </c>
      <c r="G37" s="311">
        <v>16640</v>
      </c>
      <c r="H37" s="306">
        <f t="shared" si="1"/>
        <v>3.8183179435987022</v>
      </c>
      <c r="I37" s="310">
        <v>6374</v>
      </c>
      <c r="J37" s="311">
        <v>6826</v>
      </c>
      <c r="K37" s="306">
        <f aca="true" t="shared" si="4" ref="K37:K43">IF(I37&gt;0,(((J37-I37)/I37)*100),0)</f>
        <v>7.0913084405396924</v>
      </c>
      <c r="L37" s="310">
        <v>15904</v>
      </c>
      <c r="M37" s="311">
        <v>16512</v>
      </c>
      <c r="N37" s="306">
        <f aca="true" t="shared" si="5" ref="N37:N43">IF(L37&gt;0,(((M37-L37)/L37)*100),0)</f>
        <v>3.8229376257545273</v>
      </c>
      <c r="O37" s="310"/>
      <c r="P37" s="311"/>
      <c r="Q37" s="306"/>
      <c r="R37" s="310"/>
      <c r="S37" s="311"/>
      <c r="T37" s="306"/>
      <c r="U37" s="310"/>
      <c r="V37" s="311"/>
      <c r="W37" s="306"/>
      <c r="X37" s="310"/>
      <c r="Y37" s="311"/>
      <c r="Z37" s="306"/>
      <c r="AA37" s="310"/>
      <c r="AB37" s="311"/>
      <c r="AC37" s="306"/>
      <c r="AD37" s="310"/>
      <c r="AE37" s="311"/>
      <c r="AF37" s="306"/>
      <c r="AG37" s="310"/>
      <c r="AH37" s="311"/>
      <c r="AI37" s="306"/>
      <c r="AJ37" s="310"/>
      <c r="AK37" s="311"/>
      <c r="AL37" s="306"/>
      <c r="AM37" s="310"/>
      <c r="AN37" s="311"/>
      <c r="AO37" s="306"/>
      <c r="AP37" s="310"/>
      <c r="AQ37" s="311"/>
      <c r="AR37" s="306"/>
      <c r="AS37" s="310"/>
      <c r="AT37" s="311"/>
      <c r="AU37" s="306"/>
      <c r="AV37" s="310"/>
      <c r="AW37" s="311"/>
      <c r="AX37" s="306"/>
      <c r="AY37" s="310"/>
      <c r="AZ37" s="311"/>
      <c r="BA37" s="306"/>
      <c r="BB37" s="310"/>
      <c r="BC37" s="311"/>
      <c r="BD37" s="306"/>
      <c r="BE37" s="312"/>
      <c r="BF37" s="312"/>
      <c r="BG37" s="312"/>
      <c r="BH37" s="312"/>
      <c r="BI37" s="312"/>
      <c r="BJ37" s="312"/>
      <c r="BK37" s="312"/>
      <c r="BL37" s="312"/>
      <c r="BM37" s="312"/>
      <c r="BN37" s="312"/>
      <c r="BO37" s="312"/>
      <c r="BP37" s="312"/>
      <c r="BQ37" s="312"/>
      <c r="BR37" s="312"/>
      <c r="BS37" s="312"/>
      <c r="BT37" s="312"/>
      <c r="BU37" s="312"/>
      <c r="BV37" s="312"/>
      <c r="BW37" s="312"/>
      <c r="BX37" s="312"/>
      <c r="BY37" s="312"/>
      <c r="BZ37" s="312"/>
      <c r="CA37" s="312"/>
      <c r="CB37" s="312"/>
      <c r="CC37" s="312"/>
      <c r="CD37" s="312"/>
      <c r="CE37" s="312"/>
      <c r="CF37" s="312"/>
      <c r="CG37" s="312"/>
      <c r="CH37" s="312"/>
      <c r="CI37" s="312"/>
      <c r="CJ37" s="312"/>
      <c r="CK37" s="312"/>
      <c r="CL37" s="312"/>
      <c r="CM37" s="312"/>
      <c r="CN37" s="312"/>
      <c r="CO37" s="312"/>
      <c r="CP37" s="312"/>
      <c r="CQ37" s="312"/>
      <c r="CR37" s="312"/>
    </row>
    <row r="38" spans="1:96" s="300" customFormat="1" ht="15.75" customHeight="1">
      <c r="A38" s="313"/>
      <c r="B38" s="305" t="s">
        <v>666</v>
      </c>
      <c r="C38" s="311"/>
      <c r="D38" s="311"/>
      <c r="E38" s="306">
        <f t="shared" si="0"/>
        <v>0</v>
      </c>
      <c r="F38" s="310"/>
      <c r="G38" s="311"/>
      <c r="H38" s="306">
        <f t="shared" si="1"/>
        <v>0</v>
      </c>
      <c r="I38" s="310"/>
      <c r="J38" s="311"/>
      <c r="K38" s="306">
        <f t="shared" si="4"/>
        <v>0</v>
      </c>
      <c r="L38" s="310"/>
      <c r="M38" s="311"/>
      <c r="N38" s="306">
        <f t="shared" si="5"/>
        <v>0</v>
      </c>
      <c r="O38" s="310"/>
      <c r="P38" s="311"/>
      <c r="Q38" s="306"/>
      <c r="R38" s="310"/>
      <c r="S38" s="311"/>
      <c r="T38" s="306"/>
      <c r="U38" s="310"/>
      <c r="V38" s="311"/>
      <c r="W38" s="306"/>
      <c r="X38" s="310"/>
      <c r="Y38" s="311"/>
      <c r="Z38" s="306"/>
      <c r="AA38" s="310"/>
      <c r="AB38" s="311"/>
      <c r="AC38" s="306"/>
      <c r="AD38" s="310"/>
      <c r="AE38" s="311"/>
      <c r="AF38" s="306"/>
      <c r="AG38" s="310"/>
      <c r="AH38" s="311"/>
      <c r="AI38" s="306"/>
      <c r="AJ38" s="310"/>
      <c r="AK38" s="311"/>
      <c r="AL38" s="306"/>
      <c r="AM38" s="310"/>
      <c r="AN38" s="311"/>
      <c r="AO38" s="306"/>
      <c r="AP38" s="310"/>
      <c r="AQ38" s="311"/>
      <c r="AR38" s="306"/>
      <c r="AS38" s="310"/>
      <c r="AT38" s="311"/>
      <c r="AU38" s="306"/>
      <c r="AV38" s="310"/>
      <c r="AW38" s="311"/>
      <c r="AX38" s="306"/>
      <c r="AY38" s="310"/>
      <c r="AZ38" s="311"/>
      <c r="BA38" s="306"/>
      <c r="BB38" s="310"/>
      <c r="BC38" s="311"/>
      <c r="BD38" s="306"/>
      <c r="BE38" s="312"/>
      <c r="BF38" s="312"/>
      <c r="BG38" s="312"/>
      <c r="BH38" s="312"/>
      <c r="BI38" s="312"/>
      <c r="BJ38" s="312"/>
      <c r="BK38" s="312"/>
      <c r="BL38" s="312"/>
      <c r="BM38" s="312"/>
      <c r="BN38" s="312"/>
      <c r="BO38" s="312"/>
      <c r="BP38" s="312"/>
      <c r="BQ38" s="312"/>
      <c r="BR38" s="312"/>
      <c r="BS38" s="312"/>
      <c r="BT38" s="312"/>
      <c r="BU38" s="312"/>
      <c r="BV38" s="312"/>
      <c r="BW38" s="312"/>
      <c r="BX38" s="312"/>
      <c r="BY38" s="312"/>
      <c r="BZ38" s="312"/>
      <c r="CA38" s="312"/>
      <c r="CB38" s="312"/>
      <c r="CC38" s="312"/>
      <c r="CD38" s="312"/>
      <c r="CE38" s="312"/>
      <c r="CF38" s="312"/>
      <c r="CG38" s="312"/>
      <c r="CH38" s="312"/>
      <c r="CI38" s="312"/>
      <c r="CJ38" s="312"/>
      <c r="CK38" s="312"/>
      <c r="CL38" s="312"/>
      <c r="CM38" s="312"/>
      <c r="CN38" s="312"/>
      <c r="CO38" s="312"/>
      <c r="CP38" s="312"/>
      <c r="CQ38" s="312"/>
      <c r="CR38" s="312"/>
    </row>
    <row r="39" spans="1:96" s="300" customFormat="1" ht="15.75" customHeight="1" thickBot="1">
      <c r="A39" s="313"/>
      <c r="B39" s="305" t="s">
        <v>667</v>
      </c>
      <c r="C39" s="311"/>
      <c r="D39" s="311"/>
      <c r="E39" s="306">
        <f t="shared" si="0"/>
        <v>0</v>
      </c>
      <c r="F39" s="310"/>
      <c r="G39" s="311"/>
      <c r="H39" s="306">
        <f t="shared" si="1"/>
        <v>0</v>
      </c>
      <c r="I39" s="310"/>
      <c r="J39" s="311"/>
      <c r="K39" s="306">
        <f t="shared" si="4"/>
        <v>0</v>
      </c>
      <c r="L39" s="310"/>
      <c r="M39" s="311"/>
      <c r="N39" s="306">
        <f t="shared" si="5"/>
        <v>0</v>
      </c>
      <c r="O39" s="310"/>
      <c r="P39" s="311"/>
      <c r="Q39" s="306"/>
      <c r="R39" s="310"/>
      <c r="S39" s="311"/>
      <c r="T39" s="306"/>
      <c r="U39" s="310"/>
      <c r="V39" s="311"/>
      <c r="W39" s="306"/>
      <c r="X39" s="310"/>
      <c r="Y39" s="311"/>
      <c r="Z39" s="306"/>
      <c r="AA39" s="310"/>
      <c r="AB39" s="311"/>
      <c r="AC39" s="306"/>
      <c r="AD39" s="310"/>
      <c r="AE39" s="311"/>
      <c r="AF39" s="306"/>
      <c r="AG39" s="310"/>
      <c r="AH39" s="311"/>
      <c r="AI39" s="306"/>
      <c r="AJ39" s="310"/>
      <c r="AK39" s="311"/>
      <c r="AL39" s="306"/>
      <c r="AM39" s="310"/>
      <c r="AN39" s="311"/>
      <c r="AO39" s="306"/>
      <c r="AP39" s="310"/>
      <c r="AQ39" s="311"/>
      <c r="AR39" s="306"/>
      <c r="AS39" s="310"/>
      <c r="AT39" s="311"/>
      <c r="AU39" s="306"/>
      <c r="AV39" s="310"/>
      <c r="AW39" s="311"/>
      <c r="AX39" s="306"/>
      <c r="AY39" s="310"/>
      <c r="AZ39" s="311"/>
      <c r="BA39" s="306"/>
      <c r="BB39" s="310"/>
      <c r="BC39" s="311"/>
      <c r="BD39" s="306"/>
      <c r="BE39" s="312"/>
      <c r="BF39" s="312"/>
      <c r="BG39" s="312"/>
      <c r="BH39" s="312"/>
      <c r="BI39" s="312"/>
      <c r="BJ39" s="312"/>
      <c r="BK39" s="312"/>
      <c r="BL39" s="312"/>
      <c r="BM39" s="312"/>
      <c r="BN39" s="312"/>
      <c r="BO39" s="312"/>
      <c r="BP39" s="312"/>
      <c r="BQ39" s="312"/>
      <c r="BR39" s="312"/>
      <c r="BS39" s="312"/>
      <c r="BT39" s="312"/>
      <c r="BU39" s="312"/>
      <c r="BV39" s="312"/>
      <c r="BW39" s="312"/>
      <c r="BX39" s="312"/>
      <c r="BY39" s="312"/>
      <c r="BZ39" s="312"/>
      <c r="CA39" s="312"/>
      <c r="CB39" s="312"/>
      <c r="CC39" s="312"/>
      <c r="CD39" s="312"/>
      <c r="CE39" s="312"/>
      <c r="CF39" s="312"/>
      <c r="CG39" s="312"/>
      <c r="CH39" s="312"/>
      <c r="CI39" s="312"/>
      <c r="CJ39" s="312"/>
      <c r="CK39" s="312"/>
      <c r="CL39" s="312"/>
      <c r="CM39" s="312"/>
      <c r="CN39" s="312"/>
      <c r="CO39" s="312"/>
      <c r="CP39" s="312"/>
      <c r="CQ39" s="312"/>
      <c r="CR39" s="312"/>
    </row>
    <row r="40" spans="1:96" s="300" customFormat="1" ht="15.75" customHeight="1" thickBot="1">
      <c r="A40" s="313"/>
      <c r="B40" s="305" t="s">
        <v>668</v>
      </c>
      <c r="C40" s="308">
        <v>4296</v>
      </c>
      <c r="D40" s="308">
        <v>4976</v>
      </c>
      <c r="E40" s="309">
        <f t="shared" si="0"/>
        <v>15.828677839851025</v>
      </c>
      <c r="F40" s="307">
        <v>9276</v>
      </c>
      <c r="G40" s="308">
        <v>10633</v>
      </c>
      <c r="H40" s="309">
        <f t="shared" si="1"/>
        <v>14.629150495903406</v>
      </c>
      <c r="I40" s="307">
        <v>4276</v>
      </c>
      <c r="J40" s="308">
        <v>4936</v>
      </c>
      <c r="K40" s="309">
        <f t="shared" si="4"/>
        <v>15.434985968194576</v>
      </c>
      <c r="L40" s="307">
        <v>9262</v>
      </c>
      <c r="M40" s="308">
        <v>10593</v>
      </c>
      <c r="N40" s="309">
        <f t="shared" si="5"/>
        <v>14.370546318289787</v>
      </c>
      <c r="O40" s="310"/>
      <c r="P40" s="311"/>
      <c r="Q40" s="306"/>
      <c r="R40" s="310"/>
      <c r="S40" s="311"/>
      <c r="T40" s="306"/>
      <c r="U40" s="310"/>
      <c r="V40" s="311"/>
      <c r="W40" s="306"/>
      <c r="X40" s="310"/>
      <c r="Y40" s="311"/>
      <c r="Z40" s="306"/>
      <c r="AA40" s="310"/>
      <c r="AB40" s="311"/>
      <c r="AC40" s="306"/>
      <c r="AD40" s="310"/>
      <c r="AE40" s="311"/>
      <c r="AF40" s="306"/>
      <c r="AG40" s="310"/>
      <c r="AH40" s="311"/>
      <c r="AI40" s="306"/>
      <c r="AJ40" s="310"/>
      <c r="AK40" s="311"/>
      <c r="AL40" s="306"/>
      <c r="AM40" s="310"/>
      <c r="AN40" s="311"/>
      <c r="AO40" s="306"/>
      <c r="AP40" s="310"/>
      <c r="AQ40" s="311"/>
      <c r="AR40" s="306"/>
      <c r="AS40" s="310"/>
      <c r="AT40" s="311"/>
      <c r="AU40" s="306"/>
      <c r="AV40" s="310"/>
      <c r="AW40" s="311"/>
      <c r="AX40" s="306"/>
      <c r="AY40" s="310"/>
      <c r="AZ40" s="311"/>
      <c r="BA40" s="306"/>
      <c r="BB40" s="310"/>
      <c r="BC40" s="311"/>
      <c r="BD40" s="306"/>
      <c r="BE40" s="312"/>
      <c r="BF40" s="312"/>
      <c r="BG40" s="312"/>
      <c r="BH40" s="312"/>
      <c r="BI40" s="312"/>
      <c r="BJ40" s="312"/>
      <c r="BK40" s="312"/>
      <c r="BL40" s="312"/>
      <c r="BM40" s="312"/>
      <c r="BN40" s="312"/>
      <c r="BO40" s="312"/>
      <c r="BP40" s="312"/>
      <c r="BQ40" s="312"/>
      <c r="BR40" s="312"/>
      <c r="BS40" s="312"/>
      <c r="BT40" s="312"/>
      <c r="BU40" s="312"/>
      <c r="BV40" s="312"/>
      <c r="BW40" s="312"/>
      <c r="BX40" s="312"/>
      <c r="BY40" s="312"/>
      <c r="BZ40" s="312"/>
      <c r="CA40" s="312"/>
      <c r="CB40" s="312"/>
      <c r="CC40" s="312"/>
      <c r="CD40" s="312"/>
      <c r="CE40" s="312"/>
      <c r="CF40" s="312"/>
      <c r="CG40" s="312"/>
      <c r="CH40" s="312"/>
      <c r="CI40" s="312"/>
      <c r="CJ40" s="312"/>
      <c r="CK40" s="312"/>
      <c r="CL40" s="312"/>
      <c r="CM40" s="312"/>
      <c r="CN40" s="312"/>
      <c r="CO40" s="312"/>
      <c r="CP40" s="312"/>
      <c r="CQ40" s="312"/>
      <c r="CR40" s="312"/>
    </row>
    <row r="41" spans="1:96" s="300" customFormat="1" ht="15.75" customHeight="1">
      <c r="A41" s="313"/>
      <c r="B41" s="305" t="s">
        <v>669</v>
      </c>
      <c r="C41" s="311"/>
      <c r="D41" s="311"/>
      <c r="E41" s="306">
        <f t="shared" si="0"/>
        <v>0</v>
      </c>
      <c r="F41" s="310"/>
      <c r="G41" s="311"/>
      <c r="H41" s="306">
        <f t="shared" si="1"/>
        <v>0</v>
      </c>
      <c r="I41" s="310"/>
      <c r="J41" s="311"/>
      <c r="K41" s="306">
        <f t="shared" si="4"/>
        <v>0</v>
      </c>
      <c r="L41" s="310"/>
      <c r="M41" s="311"/>
      <c r="N41" s="306">
        <f t="shared" si="5"/>
        <v>0</v>
      </c>
      <c r="O41" s="310"/>
      <c r="P41" s="311"/>
      <c r="Q41" s="306"/>
      <c r="R41" s="310"/>
      <c r="S41" s="311"/>
      <c r="T41" s="306"/>
      <c r="U41" s="310"/>
      <c r="V41" s="311"/>
      <c r="W41" s="306"/>
      <c r="X41" s="310"/>
      <c r="Y41" s="311"/>
      <c r="Z41" s="306"/>
      <c r="AA41" s="310"/>
      <c r="AB41" s="311"/>
      <c r="AC41" s="306"/>
      <c r="AD41" s="310"/>
      <c r="AE41" s="311"/>
      <c r="AF41" s="306"/>
      <c r="AG41" s="310"/>
      <c r="AH41" s="311"/>
      <c r="AI41" s="306"/>
      <c r="AJ41" s="310"/>
      <c r="AK41" s="311"/>
      <c r="AL41" s="306"/>
      <c r="AM41" s="310"/>
      <c r="AN41" s="311"/>
      <c r="AO41" s="306"/>
      <c r="AP41" s="310"/>
      <c r="AQ41" s="311"/>
      <c r="AR41" s="306"/>
      <c r="AS41" s="310"/>
      <c r="AT41" s="311"/>
      <c r="AU41" s="306"/>
      <c r="AV41" s="310"/>
      <c r="AW41" s="311"/>
      <c r="AX41" s="306"/>
      <c r="AY41" s="310"/>
      <c r="AZ41" s="311"/>
      <c r="BA41" s="306"/>
      <c r="BB41" s="310"/>
      <c r="BC41" s="311"/>
      <c r="BD41" s="306"/>
      <c r="BE41" s="312"/>
      <c r="BF41" s="312"/>
      <c r="BG41" s="312"/>
      <c r="BH41" s="312"/>
      <c r="BI41" s="312"/>
      <c r="BJ41" s="312"/>
      <c r="BK41" s="312"/>
      <c r="BL41" s="312"/>
      <c r="BM41" s="312"/>
      <c r="BN41" s="312"/>
      <c r="BO41" s="312"/>
      <c r="BP41" s="312"/>
      <c r="BQ41" s="312"/>
      <c r="BR41" s="312"/>
      <c r="BS41" s="312"/>
      <c r="BT41" s="312"/>
      <c r="BU41" s="312"/>
      <c r="BV41" s="312"/>
      <c r="BW41" s="312"/>
      <c r="BX41" s="312"/>
      <c r="BY41" s="312"/>
      <c r="BZ41" s="312"/>
      <c r="CA41" s="312"/>
      <c r="CB41" s="312"/>
      <c r="CC41" s="312"/>
      <c r="CD41" s="312"/>
      <c r="CE41" s="312"/>
      <c r="CF41" s="312"/>
      <c r="CG41" s="312"/>
      <c r="CH41" s="312"/>
      <c r="CI41" s="312"/>
      <c r="CJ41" s="312"/>
      <c r="CK41" s="312"/>
      <c r="CL41" s="312"/>
      <c r="CM41" s="312"/>
      <c r="CN41" s="312"/>
      <c r="CO41" s="312"/>
      <c r="CP41" s="312"/>
      <c r="CQ41" s="312"/>
      <c r="CR41" s="312"/>
    </row>
    <row r="42" spans="1:96" s="300" customFormat="1" ht="15.75" customHeight="1">
      <c r="A42" s="313"/>
      <c r="B42" s="305" t="s">
        <v>670</v>
      </c>
      <c r="C42" s="311"/>
      <c r="D42" s="311"/>
      <c r="E42" s="306">
        <f t="shared" si="0"/>
        <v>0</v>
      </c>
      <c r="F42" s="310"/>
      <c r="G42" s="311"/>
      <c r="H42" s="306">
        <f t="shared" si="1"/>
        <v>0</v>
      </c>
      <c r="I42" s="310"/>
      <c r="J42" s="311"/>
      <c r="K42" s="306">
        <f t="shared" si="4"/>
        <v>0</v>
      </c>
      <c r="L42" s="310"/>
      <c r="M42" s="311"/>
      <c r="N42" s="306">
        <f t="shared" si="5"/>
        <v>0</v>
      </c>
      <c r="O42" s="310"/>
      <c r="P42" s="311"/>
      <c r="Q42" s="306"/>
      <c r="R42" s="310"/>
      <c r="S42" s="311"/>
      <c r="T42" s="306"/>
      <c r="U42" s="310"/>
      <c r="V42" s="311"/>
      <c r="W42" s="306"/>
      <c r="X42" s="310"/>
      <c r="Y42" s="311"/>
      <c r="Z42" s="306"/>
      <c r="AA42" s="310"/>
      <c r="AB42" s="311"/>
      <c r="AC42" s="306"/>
      <c r="AD42" s="310"/>
      <c r="AE42" s="311"/>
      <c r="AF42" s="306"/>
      <c r="AG42" s="310"/>
      <c r="AH42" s="311"/>
      <c r="AI42" s="306"/>
      <c r="AJ42" s="310"/>
      <c r="AK42" s="311"/>
      <c r="AL42" s="306"/>
      <c r="AM42" s="310"/>
      <c r="AN42" s="311"/>
      <c r="AO42" s="306"/>
      <c r="AP42" s="310"/>
      <c r="AQ42" s="311"/>
      <c r="AR42" s="306"/>
      <c r="AS42" s="310"/>
      <c r="AT42" s="311"/>
      <c r="AU42" s="306"/>
      <c r="AV42" s="310"/>
      <c r="AW42" s="311"/>
      <c r="AX42" s="306"/>
      <c r="AY42" s="310"/>
      <c r="AZ42" s="311"/>
      <c r="BA42" s="306"/>
      <c r="BB42" s="310"/>
      <c r="BC42" s="311"/>
      <c r="BD42" s="306"/>
      <c r="BE42" s="312"/>
      <c r="BF42" s="312"/>
      <c r="BG42" s="312"/>
      <c r="BH42" s="312"/>
      <c r="BI42" s="312"/>
      <c r="BJ42" s="312"/>
      <c r="BK42" s="312"/>
      <c r="BL42" s="312"/>
      <c r="BM42" s="312"/>
      <c r="BN42" s="312"/>
      <c r="BO42" s="312"/>
      <c r="BP42" s="312"/>
      <c r="BQ42" s="312"/>
      <c r="BR42" s="312"/>
      <c r="BS42" s="312"/>
      <c r="BT42" s="312"/>
      <c r="BU42" s="312"/>
      <c r="BV42" s="312"/>
      <c r="BW42" s="312"/>
      <c r="BX42" s="312"/>
      <c r="BY42" s="312"/>
      <c r="BZ42" s="312"/>
      <c r="CA42" s="312"/>
      <c r="CB42" s="312"/>
      <c r="CC42" s="312"/>
      <c r="CD42" s="312"/>
      <c r="CE42" s="312"/>
      <c r="CF42" s="312"/>
      <c r="CG42" s="312"/>
      <c r="CH42" s="312"/>
      <c r="CI42" s="312"/>
      <c r="CJ42" s="312"/>
      <c r="CK42" s="312"/>
      <c r="CL42" s="312"/>
      <c r="CM42" s="312"/>
      <c r="CN42" s="312"/>
      <c r="CO42" s="312"/>
      <c r="CP42" s="312"/>
      <c r="CQ42" s="312"/>
      <c r="CR42" s="312"/>
    </row>
    <row r="43" spans="1:96" s="300" customFormat="1" ht="15.75" customHeight="1">
      <c r="A43" s="313"/>
      <c r="B43" s="305" t="s">
        <v>1041</v>
      </c>
      <c r="C43" s="311">
        <v>5397</v>
      </c>
      <c r="D43" s="311">
        <v>5965</v>
      </c>
      <c r="E43" s="306">
        <f t="shared" si="0"/>
        <v>10.524365388178618</v>
      </c>
      <c r="F43" s="310">
        <v>12652</v>
      </c>
      <c r="G43" s="311">
        <v>13636.5</v>
      </c>
      <c r="H43" s="306">
        <f t="shared" si="1"/>
        <v>7.78137843819159</v>
      </c>
      <c r="I43" s="310">
        <v>5325</v>
      </c>
      <c r="J43" s="311">
        <v>5881</v>
      </c>
      <c r="K43" s="306">
        <f t="shared" si="4"/>
        <v>10.44131455399061</v>
      </c>
      <c r="L43" s="310">
        <v>12583</v>
      </c>
      <c r="M43" s="311">
        <v>13552.5</v>
      </c>
      <c r="N43" s="306">
        <f t="shared" si="5"/>
        <v>7.704839863307638</v>
      </c>
      <c r="O43" s="310"/>
      <c r="P43" s="311"/>
      <c r="Q43" s="306"/>
      <c r="R43" s="310"/>
      <c r="S43" s="311"/>
      <c r="T43" s="306"/>
      <c r="U43" s="310"/>
      <c r="V43" s="311"/>
      <c r="W43" s="306"/>
      <c r="X43" s="310"/>
      <c r="Y43" s="311"/>
      <c r="Z43" s="306"/>
      <c r="AA43" s="310"/>
      <c r="AB43" s="311"/>
      <c r="AC43" s="306"/>
      <c r="AD43" s="310"/>
      <c r="AE43" s="311"/>
      <c r="AF43" s="306"/>
      <c r="AG43" s="310"/>
      <c r="AH43" s="311"/>
      <c r="AI43" s="306"/>
      <c r="AJ43" s="310"/>
      <c r="AK43" s="311"/>
      <c r="AL43" s="306"/>
      <c r="AM43" s="310"/>
      <c r="AN43" s="311"/>
      <c r="AO43" s="306"/>
      <c r="AP43" s="310"/>
      <c r="AQ43" s="311"/>
      <c r="AR43" s="306"/>
      <c r="AS43" s="310"/>
      <c r="AT43" s="311"/>
      <c r="AU43" s="306"/>
      <c r="AV43" s="310"/>
      <c r="AW43" s="311"/>
      <c r="AX43" s="306"/>
      <c r="AY43" s="310"/>
      <c r="AZ43" s="311"/>
      <c r="BA43" s="306"/>
      <c r="BB43" s="310"/>
      <c r="BC43" s="311"/>
      <c r="BD43" s="306"/>
      <c r="BE43" s="312"/>
      <c r="BF43" s="312"/>
      <c r="BG43" s="312"/>
      <c r="BH43" s="312"/>
      <c r="BI43" s="312"/>
      <c r="BJ43" s="312"/>
      <c r="BK43" s="312"/>
      <c r="BL43" s="312"/>
      <c r="BM43" s="312"/>
      <c r="BN43" s="312"/>
      <c r="BO43" s="312"/>
      <c r="BP43" s="312"/>
      <c r="BQ43" s="312"/>
      <c r="BR43" s="312"/>
      <c r="BS43" s="312"/>
      <c r="BT43" s="312"/>
      <c r="BU43" s="312"/>
      <c r="BV43" s="312"/>
      <c r="BW43" s="312"/>
      <c r="BX43" s="312"/>
      <c r="BY43" s="312"/>
      <c r="BZ43" s="312"/>
      <c r="CA43" s="312"/>
      <c r="CB43" s="312"/>
      <c r="CC43" s="312"/>
      <c r="CD43" s="312"/>
      <c r="CE43" s="312"/>
      <c r="CF43" s="312"/>
      <c r="CG43" s="312"/>
      <c r="CH43" s="312"/>
      <c r="CI43" s="312"/>
      <c r="CJ43" s="312"/>
      <c r="CK43" s="312"/>
      <c r="CL43" s="312"/>
      <c r="CM43" s="312"/>
      <c r="CN43" s="312"/>
      <c r="CO43" s="312"/>
      <c r="CP43" s="312"/>
      <c r="CQ43" s="312"/>
      <c r="CR43" s="312"/>
    </row>
    <row r="44" spans="1:96" s="300" customFormat="1" ht="15.75" customHeight="1">
      <c r="A44" s="313"/>
      <c r="B44" s="305" t="s">
        <v>671</v>
      </c>
      <c r="C44" s="311"/>
      <c r="D44" s="311"/>
      <c r="E44" s="306">
        <f t="shared" si="0"/>
        <v>0</v>
      </c>
      <c r="F44" s="310"/>
      <c r="G44" s="311"/>
      <c r="H44" s="306">
        <f t="shared" si="1"/>
        <v>0</v>
      </c>
      <c r="I44" s="310"/>
      <c r="J44" s="311"/>
      <c r="K44" s="306"/>
      <c r="L44" s="310"/>
      <c r="M44" s="311"/>
      <c r="N44" s="306"/>
      <c r="O44" s="310"/>
      <c r="P44" s="311"/>
      <c r="Q44" s="306"/>
      <c r="R44" s="310"/>
      <c r="S44" s="311"/>
      <c r="T44" s="306"/>
      <c r="U44" s="310"/>
      <c r="V44" s="311"/>
      <c r="W44" s="306"/>
      <c r="X44" s="310"/>
      <c r="Y44" s="311"/>
      <c r="Z44" s="306"/>
      <c r="AA44" s="310"/>
      <c r="AB44" s="311"/>
      <c r="AC44" s="306"/>
      <c r="AD44" s="310"/>
      <c r="AE44" s="311"/>
      <c r="AF44" s="306"/>
      <c r="AG44" s="310"/>
      <c r="AH44" s="311"/>
      <c r="AI44" s="306"/>
      <c r="AJ44" s="310"/>
      <c r="AK44" s="311"/>
      <c r="AL44" s="306"/>
      <c r="AM44" s="310"/>
      <c r="AN44" s="311"/>
      <c r="AO44" s="306"/>
      <c r="AP44" s="310"/>
      <c r="AQ44" s="311"/>
      <c r="AR44" s="306"/>
      <c r="AS44" s="310"/>
      <c r="AT44" s="311"/>
      <c r="AU44" s="306"/>
      <c r="AV44" s="310"/>
      <c r="AW44" s="311"/>
      <c r="AX44" s="306"/>
      <c r="AY44" s="310"/>
      <c r="AZ44" s="311"/>
      <c r="BA44" s="306"/>
      <c r="BB44" s="310"/>
      <c r="BC44" s="311"/>
      <c r="BD44" s="306"/>
      <c r="BE44" s="312"/>
      <c r="BF44" s="312"/>
      <c r="BG44" s="312"/>
      <c r="BH44" s="312"/>
      <c r="BI44" s="312"/>
      <c r="BJ44" s="312"/>
      <c r="BK44" s="312"/>
      <c r="BL44" s="312"/>
      <c r="BM44" s="312"/>
      <c r="BN44" s="312"/>
      <c r="BO44" s="312"/>
      <c r="BP44" s="312"/>
      <c r="BQ44" s="312"/>
      <c r="BR44" s="312"/>
      <c r="BS44" s="312"/>
      <c r="BT44" s="312"/>
      <c r="BU44" s="312"/>
      <c r="BV44" s="312"/>
      <c r="BW44" s="312"/>
      <c r="BX44" s="312"/>
      <c r="BY44" s="312"/>
      <c r="BZ44" s="312"/>
      <c r="CA44" s="312"/>
      <c r="CB44" s="312"/>
      <c r="CC44" s="312"/>
      <c r="CD44" s="312"/>
      <c r="CE44" s="312"/>
      <c r="CF44" s="312"/>
      <c r="CG44" s="312"/>
      <c r="CH44" s="312"/>
      <c r="CI44" s="312"/>
      <c r="CJ44" s="312"/>
      <c r="CK44" s="312"/>
      <c r="CL44" s="312"/>
      <c r="CM44" s="312"/>
      <c r="CN44" s="312"/>
      <c r="CO44" s="312"/>
      <c r="CP44" s="312"/>
      <c r="CQ44" s="312"/>
      <c r="CR44" s="312"/>
    </row>
    <row r="45" spans="1:96" s="300" customFormat="1" ht="15.75" customHeight="1">
      <c r="A45" s="313"/>
      <c r="B45" s="305" t="s">
        <v>672</v>
      </c>
      <c r="C45" s="311"/>
      <c r="D45" s="311"/>
      <c r="E45" s="306">
        <f t="shared" si="0"/>
        <v>0</v>
      </c>
      <c r="F45" s="310"/>
      <c r="G45" s="311"/>
      <c r="H45" s="306">
        <f t="shared" si="1"/>
        <v>0</v>
      </c>
      <c r="I45" s="310"/>
      <c r="J45" s="311"/>
      <c r="K45" s="306"/>
      <c r="L45" s="310"/>
      <c r="M45" s="311"/>
      <c r="N45" s="306"/>
      <c r="O45" s="310"/>
      <c r="P45" s="311"/>
      <c r="Q45" s="306"/>
      <c r="R45" s="310"/>
      <c r="S45" s="311"/>
      <c r="T45" s="306"/>
      <c r="U45" s="310"/>
      <c r="V45" s="311"/>
      <c r="W45" s="306"/>
      <c r="X45" s="310"/>
      <c r="Y45" s="311"/>
      <c r="Z45" s="306"/>
      <c r="AA45" s="310"/>
      <c r="AB45" s="311"/>
      <c r="AC45" s="306"/>
      <c r="AD45" s="310"/>
      <c r="AE45" s="311"/>
      <c r="AF45" s="306"/>
      <c r="AG45" s="310"/>
      <c r="AH45" s="311"/>
      <c r="AI45" s="306"/>
      <c r="AJ45" s="310"/>
      <c r="AK45" s="311"/>
      <c r="AL45" s="306"/>
      <c r="AM45" s="310"/>
      <c r="AN45" s="311"/>
      <c r="AO45" s="306"/>
      <c r="AP45" s="310"/>
      <c r="AQ45" s="311"/>
      <c r="AR45" s="306"/>
      <c r="AS45" s="310"/>
      <c r="AT45" s="311"/>
      <c r="AU45" s="306"/>
      <c r="AV45" s="310"/>
      <c r="AW45" s="311"/>
      <c r="AX45" s="306"/>
      <c r="AY45" s="310"/>
      <c r="AZ45" s="311"/>
      <c r="BA45" s="306"/>
      <c r="BB45" s="310"/>
      <c r="BC45" s="311"/>
      <c r="BD45" s="306"/>
      <c r="BE45" s="312"/>
      <c r="BF45" s="312"/>
      <c r="BG45" s="312"/>
      <c r="BH45" s="312"/>
      <c r="BI45" s="312"/>
      <c r="BJ45" s="312"/>
      <c r="BK45" s="312"/>
      <c r="BL45" s="312"/>
      <c r="BM45" s="312"/>
      <c r="BN45" s="312"/>
      <c r="BO45" s="312"/>
      <c r="BP45" s="312"/>
      <c r="BQ45" s="312"/>
      <c r="BR45" s="312"/>
      <c r="BS45" s="312"/>
      <c r="BT45" s="312"/>
      <c r="BU45" s="312"/>
      <c r="BV45" s="312"/>
      <c r="BW45" s="312"/>
      <c r="BX45" s="312"/>
      <c r="BY45" s="312"/>
      <c r="BZ45" s="312"/>
      <c r="CA45" s="312"/>
      <c r="CB45" s="312"/>
      <c r="CC45" s="312"/>
      <c r="CD45" s="312"/>
      <c r="CE45" s="312"/>
      <c r="CF45" s="312"/>
      <c r="CG45" s="312"/>
      <c r="CH45" s="312"/>
      <c r="CI45" s="312"/>
      <c r="CJ45" s="312"/>
      <c r="CK45" s="312"/>
      <c r="CL45" s="312"/>
      <c r="CM45" s="312"/>
      <c r="CN45" s="312"/>
      <c r="CO45" s="312"/>
      <c r="CP45" s="312"/>
      <c r="CQ45" s="312"/>
      <c r="CR45" s="312"/>
    </row>
    <row r="46" spans="1:96" s="300" customFormat="1" ht="15.75" customHeight="1">
      <c r="A46" s="313"/>
      <c r="B46" s="305" t="s">
        <v>673</v>
      </c>
      <c r="C46" s="311">
        <v>1932</v>
      </c>
      <c r="D46" s="311">
        <v>2088</v>
      </c>
      <c r="E46" s="306">
        <f t="shared" si="0"/>
        <v>8.074534161490684</v>
      </c>
      <c r="F46" s="310">
        <v>4560</v>
      </c>
      <c r="G46" s="311">
        <v>4860</v>
      </c>
      <c r="H46" s="306">
        <f t="shared" si="1"/>
        <v>6.578947368421052</v>
      </c>
      <c r="I46" s="310"/>
      <c r="J46" s="311"/>
      <c r="K46" s="306"/>
      <c r="L46" s="310"/>
      <c r="M46" s="311"/>
      <c r="N46" s="306"/>
      <c r="O46" s="310"/>
      <c r="P46" s="311"/>
      <c r="Q46" s="306"/>
      <c r="R46" s="310"/>
      <c r="S46" s="311"/>
      <c r="T46" s="306"/>
      <c r="U46" s="310"/>
      <c r="V46" s="311"/>
      <c r="W46" s="306"/>
      <c r="X46" s="310"/>
      <c r="Y46" s="311"/>
      <c r="Z46" s="306"/>
      <c r="AA46" s="310"/>
      <c r="AB46" s="311"/>
      <c r="AC46" s="306"/>
      <c r="AD46" s="310"/>
      <c r="AE46" s="311"/>
      <c r="AF46" s="306"/>
      <c r="AG46" s="310"/>
      <c r="AH46" s="311"/>
      <c r="AI46" s="306"/>
      <c r="AJ46" s="310"/>
      <c r="AK46" s="311"/>
      <c r="AL46" s="306"/>
      <c r="AM46" s="310"/>
      <c r="AN46" s="311"/>
      <c r="AO46" s="306"/>
      <c r="AP46" s="310"/>
      <c r="AQ46" s="311"/>
      <c r="AR46" s="306"/>
      <c r="AS46" s="310"/>
      <c r="AT46" s="311"/>
      <c r="AU46" s="306"/>
      <c r="AV46" s="310"/>
      <c r="AW46" s="311"/>
      <c r="AX46" s="306"/>
      <c r="AY46" s="310"/>
      <c r="AZ46" s="311"/>
      <c r="BA46" s="306"/>
      <c r="BB46" s="310"/>
      <c r="BC46" s="311"/>
      <c r="BD46" s="306"/>
      <c r="BE46" s="312"/>
      <c r="BF46" s="312"/>
      <c r="BG46" s="312"/>
      <c r="BH46" s="312"/>
      <c r="BI46" s="312"/>
      <c r="BJ46" s="312"/>
      <c r="BK46" s="312"/>
      <c r="BL46" s="312"/>
      <c r="BM46" s="312"/>
      <c r="BN46" s="312"/>
      <c r="BO46" s="312"/>
      <c r="BP46" s="312"/>
      <c r="BQ46" s="312"/>
      <c r="BR46" s="312"/>
      <c r="BS46" s="312"/>
      <c r="BT46" s="312"/>
      <c r="BU46" s="312"/>
      <c r="BV46" s="312"/>
      <c r="BW46" s="312"/>
      <c r="BX46" s="312"/>
      <c r="BY46" s="312"/>
      <c r="BZ46" s="312"/>
      <c r="CA46" s="312"/>
      <c r="CB46" s="312"/>
      <c r="CC46" s="312"/>
      <c r="CD46" s="312"/>
      <c r="CE46" s="312"/>
      <c r="CF46" s="312"/>
      <c r="CG46" s="312"/>
      <c r="CH46" s="312"/>
      <c r="CI46" s="312"/>
      <c r="CJ46" s="312"/>
      <c r="CK46" s="312"/>
      <c r="CL46" s="312"/>
      <c r="CM46" s="312"/>
      <c r="CN46" s="312"/>
      <c r="CO46" s="312"/>
      <c r="CP46" s="312"/>
      <c r="CQ46" s="312"/>
      <c r="CR46" s="312"/>
    </row>
    <row r="47" spans="1:96" s="300" customFormat="1" ht="15.75" customHeight="1">
      <c r="A47" s="313"/>
      <c r="B47" s="305" t="s">
        <v>76</v>
      </c>
      <c r="C47" s="311">
        <v>1932</v>
      </c>
      <c r="D47" s="311">
        <v>2088</v>
      </c>
      <c r="E47" s="306">
        <f t="shared" si="0"/>
        <v>8.074534161490684</v>
      </c>
      <c r="F47" s="310">
        <v>4560</v>
      </c>
      <c r="G47" s="311">
        <v>4860</v>
      </c>
      <c r="H47" s="306">
        <f t="shared" si="1"/>
        <v>6.578947368421052</v>
      </c>
      <c r="I47" s="310"/>
      <c r="J47" s="311"/>
      <c r="K47" s="306"/>
      <c r="L47" s="310"/>
      <c r="M47" s="311"/>
      <c r="N47" s="306"/>
      <c r="O47" s="310"/>
      <c r="P47" s="311"/>
      <c r="Q47" s="306"/>
      <c r="R47" s="310"/>
      <c r="S47" s="311"/>
      <c r="T47" s="306"/>
      <c r="U47" s="310"/>
      <c r="V47" s="311"/>
      <c r="W47" s="306"/>
      <c r="X47" s="310"/>
      <c r="Y47" s="311"/>
      <c r="Z47" s="306"/>
      <c r="AA47" s="310"/>
      <c r="AB47" s="311"/>
      <c r="AC47" s="306"/>
      <c r="AD47" s="310"/>
      <c r="AE47" s="311"/>
      <c r="AF47" s="306"/>
      <c r="AG47" s="310"/>
      <c r="AH47" s="311"/>
      <c r="AI47" s="306"/>
      <c r="AJ47" s="310"/>
      <c r="AK47" s="311"/>
      <c r="AL47" s="306"/>
      <c r="AM47" s="310"/>
      <c r="AN47" s="311"/>
      <c r="AO47" s="306"/>
      <c r="AP47" s="310"/>
      <c r="AQ47" s="311"/>
      <c r="AR47" s="306"/>
      <c r="AS47" s="310"/>
      <c r="AT47" s="311"/>
      <c r="AU47" s="306"/>
      <c r="AV47" s="310"/>
      <c r="AW47" s="311"/>
      <c r="AX47" s="306"/>
      <c r="AY47" s="310"/>
      <c r="AZ47" s="311"/>
      <c r="BA47" s="306"/>
      <c r="BB47" s="310"/>
      <c r="BC47" s="311"/>
      <c r="BD47" s="306"/>
      <c r="BE47" s="312"/>
      <c r="BF47" s="312"/>
      <c r="BG47" s="312"/>
      <c r="BH47" s="312"/>
      <c r="BI47" s="312"/>
      <c r="BJ47" s="312"/>
      <c r="BK47" s="312"/>
      <c r="BL47" s="312"/>
      <c r="BM47" s="312"/>
      <c r="BN47" s="312"/>
      <c r="BO47" s="312"/>
      <c r="BP47" s="312"/>
      <c r="BQ47" s="312"/>
      <c r="BR47" s="312"/>
      <c r="BS47" s="312"/>
      <c r="BT47" s="312"/>
      <c r="BU47" s="312"/>
      <c r="BV47" s="312"/>
      <c r="BW47" s="312"/>
      <c r="BX47" s="312"/>
      <c r="BY47" s="312"/>
      <c r="BZ47" s="312"/>
      <c r="CA47" s="312"/>
      <c r="CB47" s="312"/>
      <c r="CC47" s="312"/>
      <c r="CD47" s="312"/>
      <c r="CE47" s="312"/>
      <c r="CF47" s="312"/>
      <c r="CG47" s="312"/>
      <c r="CH47" s="312"/>
      <c r="CI47" s="312"/>
      <c r="CJ47" s="312"/>
      <c r="CK47" s="312"/>
      <c r="CL47" s="312"/>
      <c r="CM47" s="312"/>
      <c r="CN47" s="312"/>
      <c r="CO47" s="312"/>
      <c r="CP47" s="312"/>
      <c r="CQ47" s="312"/>
      <c r="CR47" s="312"/>
    </row>
    <row r="48" spans="1:96" s="300" customFormat="1" ht="15.75" customHeight="1">
      <c r="A48" s="313"/>
      <c r="B48" s="305" t="s">
        <v>473</v>
      </c>
      <c r="C48" s="311">
        <v>1932</v>
      </c>
      <c r="D48" s="311">
        <v>2088</v>
      </c>
      <c r="E48" s="306">
        <f t="shared" si="0"/>
        <v>8.074534161490684</v>
      </c>
      <c r="F48" s="310">
        <v>4560</v>
      </c>
      <c r="G48" s="311">
        <v>4860</v>
      </c>
      <c r="H48" s="306">
        <f t="shared" si="1"/>
        <v>6.578947368421052</v>
      </c>
      <c r="I48" s="310"/>
      <c r="J48" s="311"/>
      <c r="K48" s="306"/>
      <c r="L48" s="310"/>
      <c r="M48" s="311"/>
      <c r="N48" s="306"/>
      <c r="O48" s="310"/>
      <c r="P48" s="311"/>
      <c r="Q48" s="306"/>
      <c r="R48" s="310"/>
      <c r="S48" s="311"/>
      <c r="T48" s="306"/>
      <c r="U48" s="310"/>
      <c r="V48" s="311"/>
      <c r="W48" s="306"/>
      <c r="X48" s="310"/>
      <c r="Y48" s="311"/>
      <c r="Z48" s="306"/>
      <c r="AA48" s="310"/>
      <c r="AB48" s="311"/>
      <c r="AC48" s="306"/>
      <c r="AD48" s="310"/>
      <c r="AE48" s="311"/>
      <c r="AF48" s="306"/>
      <c r="AG48" s="310"/>
      <c r="AH48" s="311"/>
      <c r="AI48" s="306"/>
      <c r="AJ48" s="310"/>
      <c r="AK48" s="311"/>
      <c r="AL48" s="306"/>
      <c r="AM48" s="310"/>
      <c r="AN48" s="311"/>
      <c r="AO48" s="306"/>
      <c r="AP48" s="310"/>
      <c r="AQ48" s="311"/>
      <c r="AR48" s="306"/>
      <c r="AS48" s="310"/>
      <c r="AT48" s="311"/>
      <c r="AU48" s="306"/>
      <c r="AV48" s="310"/>
      <c r="AW48" s="311"/>
      <c r="AX48" s="306"/>
      <c r="AY48" s="310"/>
      <c r="AZ48" s="311"/>
      <c r="BA48" s="306"/>
      <c r="BB48" s="310"/>
      <c r="BC48" s="311"/>
      <c r="BD48" s="306"/>
      <c r="BE48" s="312"/>
      <c r="BF48" s="312"/>
      <c r="BG48" s="312"/>
      <c r="BH48" s="312"/>
      <c r="BI48" s="312"/>
      <c r="BJ48" s="312"/>
      <c r="BK48" s="312"/>
      <c r="BL48" s="312"/>
      <c r="BM48" s="312"/>
      <c r="BN48" s="312"/>
      <c r="BO48" s="312"/>
      <c r="BP48" s="312"/>
      <c r="BQ48" s="312"/>
      <c r="BR48" s="312"/>
      <c r="BS48" s="312"/>
      <c r="BT48" s="312"/>
      <c r="BU48" s="312"/>
      <c r="BV48" s="312"/>
      <c r="BW48" s="312"/>
      <c r="BX48" s="312"/>
      <c r="BY48" s="312"/>
      <c r="BZ48" s="312"/>
      <c r="CA48" s="312"/>
      <c r="CB48" s="312"/>
      <c r="CC48" s="312"/>
      <c r="CD48" s="312"/>
      <c r="CE48" s="312"/>
      <c r="CF48" s="312"/>
      <c r="CG48" s="312"/>
      <c r="CH48" s="312"/>
      <c r="CI48" s="312"/>
      <c r="CJ48" s="312"/>
      <c r="CK48" s="312"/>
      <c r="CL48" s="312"/>
      <c r="CM48" s="312"/>
      <c r="CN48" s="312"/>
      <c r="CO48" s="312"/>
      <c r="CP48" s="312"/>
      <c r="CQ48" s="312"/>
      <c r="CR48" s="312"/>
    </row>
    <row r="49" spans="1:96" s="300" customFormat="1" ht="15.75" customHeight="1">
      <c r="A49" s="313"/>
      <c r="B49" s="305" t="s">
        <v>77</v>
      </c>
      <c r="C49" s="311"/>
      <c r="D49" s="311"/>
      <c r="E49" s="306">
        <f t="shared" si="0"/>
        <v>0</v>
      </c>
      <c r="F49" s="310"/>
      <c r="G49" s="311"/>
      <c r="H49" s="306">
        <f t="shared" si="1"/>
        <v>0</v>
      </c>
      <c r="I49" s="310"/>
      <c r="J49" s="311"/>
      <c r="K49" s="306"/>
      <c r="L49" s="310"/>
      <c r="M49" s="311"/>
      <c r="N49" s="306"/>
      <c r="O49" s="310"/>
      <c r="P49" s="311"/>
      <c r="Q49" s="306"/>
      <c r="R49" s="310"/>
      <c r="S49" s="311"/>
      <c r="T49" s="306"/>
      <c r="U49" s="310"/>
      <c r="V49" s="311"/>
      <c r="W49" s="306"/>
      <c r="X49" s="310"/>
      <c r="Y49" s="311"/>
      <c r="Z49" s="306"/>
      <c r="AA49" s="310"/>
      <c r="AB49" s="311"/>
      <c r="AC49" s="306"/>
      <c r="AD49" s="310"/>
      <c r="AE49" s="311"/>
      <c r="AF49" s="306"/>
      <c r="AG49" s="310"/>
      <c r="AH49" s="311"/>
      <c r="AI49" s="306"/>
      <c r="AJ49" s="310"/>
      <c r="AK49" s="311"/>
      <c r="AL49" s="306"/>
      <c r="AM49" s="310"/>
      <c r="AN49" s="311"/>
      <c r="AO49" s="306"/>
      <c r="AP49" s="310"/>
      <c r="AQ49" s="311"/>
      <c r="AR49" s="306"/>
      <c r="AS49" s="310"/>
      <c r="AT49" s="311"/>
      <c r="AU49" s="306"/>
      <c r="AV49" s="310"/>
      <c r="AW49" s="311"/>
      <c r="AX49" s="306"/>
      <c r="AY49" s="310"/>
      <c r="AZ49" s="311"/>
      <c r="BA49" s="306"/>
      <c r="BB49" s="310"/>
      <c r="BC49" s="311"/>
      <c r="BD49" s="306"/>
      <c r="BE49" s="312"/>
      <c r="BF49" s="312"/>
      <c r="BG49" s="312"/>
      <c r="BH49" s="312"/>
      <c r="BI49" s="312"/>
      <c r="BJ49" s="312"/>
      <c r="BK49" s="312"/>
      <c r="BL49" s="312"/>
      <c r="BM49" s="312"/>
      <c r="BN49" s="312"/>
      <c r="BO49" s="312"/>
      <c r="BP49" s="312"/>
      <c r="BQ49" s="312"/>
      <c r="BR49" s="312"/>
      <c r="BS49" s="312"/>
      <c r="BT49" s="312"/>
      <c r="BU49" s="312"/>
      <c r="BV49" s="312"/>
      <c r="BW49" s="312"/>
      <c r="BX49" s="312"/>
      <c r="BY49" s="312"/>
      <c r="BZ49" s="312"/>
      <c r="CA49" s="312"/>
      <c r="CB49" s="312"/>
      <c r="CC49" s="312"/>
      <c r="CD49" s="312"/>
      <c r="CE49" s="312"/>
      <c r="CF49" s="312"/>
      <c r="CG49" s="312"/>
      <c r="CH49" s="312"/>
      <c r="CI49" s="312"/>
      <c r="CJ49" s="312"/>
      <c r="CK49" s="312"/>
      <c r="CL49" s="312"/>
      <c r="CM49" s="312"/>
      <c r="CN49" s="312"/>
      <c r="CO49" s="312"/>
      <c r="CP49" s="312"/>
      <c r="CQ49" s="312"/>
      <c r="CR49" s="312"/>
    </row>
    <row r="50" spans="1:96" s="300" customFormat="1" ht="15.75" customHeight="1">
      <c r="A50" s="313"/>
      <c r="B50" s="305" t="s">
        <v>63</v>
      </c>
      <c r="C50" s="311"/>
      <c r="D50" s="311"/>
      <c r="E50" s="306">
        <f t="shared" si="0"/>
        <v>0</v>
      </c>
      <c r="F50" s="310"/>
      <c r="G50" s="311"/>
      <c r="H50" s="306">
        <f t="shared" si="1"/>
        <v>0</v>
      </c>
      <c r="I50" s="310"/>
      <c r="J50" s="311"/>
      <c r="K50" s="306"/>
      <c r="L50" s="310"/>
      <c r="M50" s="311"/>
      <c r="N50" s="306"/>
      <c r="O50" s="310"/>
      <c r="P50" s="311"/>
      <c r="Q50" s="306"/>
      <c r="R50" s="310"/>
      <c r="S50" s="311"/>
      <c r="T50" s="306"/>
      <c r="U50" s="310"/>
      <c r="V50" s="311"/>
      <c r="W50" s="306"/>
      <c r="X50" s="310"/>
      <c r="Y50" s="311"/>
      <c r="Z50" s="306"/>
      <c r="AA50" s="310"/>
      <c r="AB50" s="311"/>
      <c r="AC50" s="306"/>
      <c r="AD50" s="310"/>
      <c r="AE50" s="311"/>
      <c r="AF50" s="306"/>
      <c r="AG50" s="310"/>
      <c r="AH50" s="311"/>
      <c r="AI50" s="306"/>
      <c r="AJ50" s="310"/>
      <c r="AK50" s="311"/>
      <c r="AL50" s="306"/>
      <c r="AM50" s="310"/>
      <c r="AN50" s="311"/>
      <c r="AO50" s="306"/>
      <c r="AP50" s="310"/>
      <c r="AQ50" s="311"/>
      <c r="AR50" s="306"/>
      <c r="AS50" s="310"/>
      <c r="AT50" s="311"/>
      <c r="AU50" s="306"/>
      <c r="AV50" s="310"/>
      <c r="AW50" s="311"/>
      <c r="AX50" s="306"/>
      <c r="AY50" s="310"/>
      <c r="AZ50" s="311"/>
      <c r="BA50" s="306"/>
      <c r="BB50" s="310"/>
      <c r="BC50" s="311"/>
      <c r="BD50" s="306"/>
      <c r="BE50" s="312"/>
      <c r="BF50" s="312"/>
      <c r="BG50" s="312"/>
      <c r="BH50" s="312"/>
      <c r="BI50" s="312"/>
      <c r="BJ50" s="312"/>
      <c r="BK50" s="312"/>
      <c r="BL50" s="312"/>
      <c r="BM50" s="312"/>
      <c r="BN50" s="312"/>
      <c r="BO50" s="312"/>
      <c r="BP50" s="312"/>
      <c r="BQ50" s="312"/>
      <c r="BR50" s="312"/>
      <c r="BS50" s="312"/>
      <c r="BT50" s="312"/>
      <c r="BU50" s="312"/>
      <c r="BV50" s="312"/>
      <c r="BW50" s="312"/>
      <c r="BX50" s="312"/>
      <c r="BY50" s="312"/>
      <c r="BZ50" s="312"/>
      <c r="CA50" s="312"/>
      <c r="CB50" s="312"/>
      <c r="CC50" s="312"/>
      <c r="CD50" s="312"/>
      <c r="CE50" s="312"/>
      <c r="CF50" s="312"/>
      <c r="CG50" s="312"/>
      <c r="CH50" s="312"/>
      <c r="CI50" s="312"/>
      <c r="CJ50" s="312"/>
      <c r="CK50" s="312"/>
      <c r="CL50" s="312"/>
      <c r="CM50" s="312"/>
      <c r="CN50" s="312"/>
      <c r="CO50" s="312"/>
      <c r="CP50" s="312"/>
      <c r="CQ50" s="312"/>
      <c r="CR50" s="312"/>
    </row>
    <row r="51" spans="1:96" s="300" customFormat="1" ht="15.75" customHeight="1">
      <c r="A51" s="313"/>
      <c r="B51" s="305" t="s">
        <v>64</v>
      </c>
      <c r="C51" s="311"/>
      <c r="D51" s="311"/>
      <c r="E51" s="306">
        <f t="shared" si="0"/>
        <v>0</v>
      </c>
      <c r="F51" s="310"/>
      <c r="G51" s="311"/>
      <c r="H51" s="306">
        <f t="shared" si="1"/>
        <v>0</v>
      </c>
      <c r="I51" s="310"/>
      <c r="J51" s="311"/>
      <c r="K51" s="306"/>
      <c r="L51" s="310"/>
      <c r="M51" s="311"/>
      <c r="N51" s="306"/>
      <c r="O51" s="310"/>
      <c r="P51" s="311"/>
      <c r="Q51" s="306"/>
      <c r="R51" s="310"/>
      <c r="S51" s="311"/>
      <c r="T51" s="306"/>
      <c r="U51" s="310"/>
      <c r="V51" s="311"/>
      <c r="W51" s="306"/>
      <c r="X51" s="310"/>
      <c r="Y51" s="311"/>
      <c r="Z51" s="306"/>
      <c r="AA51" s="310"/>
      <c r="AB51" s="311"/>
      <c r="AC51" s="306"/>
      <c r="AD51" s="310"/>
      <c r="AE51" s="311"/>
      <c r="AF51" s="306"/>
      <c r="AG51" s="310"/>
      <c r="AH51" s="311"/>
      <c r="AI51" s="306"/>
      <c r="AJ51" s="310"/>
      <c r="AK51" s="311"/>
      <c r="AL51" s="306"/>
      <c r="AM51" s="310"/>
      <c r="AN51" s="311"/>
      <c r="AO51" s="306"/>
      <c r="AP51" s="310"/>
      <c r="AQ51" s="311"/>
      <c r="AR51" s="306"/>
      <c r="AS51" s="310"/>
      <c r="AT51" s="311"/>
      <c r="AU51" s="306"/>
      <c r="AV51" s="310"/>
      <c r="AW51" s="311"/>
      <c r="AX51" s="306"/>
      <c r="AY51" s="310"/>
      <c r="AZ51" s="311"/>
      <c r="BA51" s="306"/>
      <c r="BB51" s="310"/>
      <c r="BC51" s="311"/>
      <c r="BD51" s="306"/>
      <c r="BE51" s="312"/>
      <c r="BF51" s="312"/>
      <c r="BG51" s="312"/>
      <c r="BH51" s="312"/>
      <c r="BI51" s="312"/>
      <c r="BJ51" s="312"/>
      <c r="BK51" s="312"/>
      <c r="BL51" s="312"/>
      <c r="BM51" s="312"/>
      <c r="BN51" s="312"/>
      <c r="BO51" s="312"/>
      <c r="BP51" s="312"/>
      <c r="BQ51" s="312"/>
      <c r="BR51" s="312"/>
      <c r="BS51" s="312"/>
      <c r="BT51" s="312"/>
      <c r="BU51" s="312"/>
      <c r="BV51" s="312"/>
      <c r="BW51" s="312"/>
      <c r="BX51" s="312"/>
      <c r="BY51" s="312"/>
      <c r="BZ51" s="312"/>
      <c r="CA51" s="312"/>
      <c r="CB51" s="312"/>
      <c r="CC51" s="312"/>
      <c r="CD51" s="312"/>
      <c r="CE51" s="312"/>
      <c r="CF51" s="312"/>
      <c r="CG51" s="312"/>
      <c r="CH51" s="312"/>
      <c r="CI51" s="312"/>
      <c r="CJ51" s="312"/>
      <c r="CK51" s="312"/>
      <c r="CL51" s="312"/>
      <c r="CM51" s="312"/>
      <c r="CN51" s="312"/>
      <c r="CO51" s="312"/>
      <c r="CP51" s="312"/>
      <c r="CQ51" s="312"/>
      <c r="CR51" s="312"/>
    </row>
    <row r="52" spans="1:96" s="300" customFormat="1" ht="15.75" customHeight="1">
      <c r="A52" s="313"/>
      <c r="B52" s="305" t="s">
        <v>970</v>
      </c>
      <c r="C52" s="311"/>
      <c r="D52" s="311"/>
      <c r="E52" s="306">
        <f t="shared" si="0"/>
        <v>0</v>
      </c>
      <c r="F52" s="310"/>
      <c r="G52" s="311"/>
      <c r="H52" s="306">
        <f t="shared" si="1"/>
        <v>0</v>
      </c>
      <c r="I52" s="310"/>
      <c r="J52" s="311"/>
      <c r="K52" s="306"/>
      <c r="L52" s="310"/>
      <c r="M52" s="311"/>
      <c r="N52" s="306"/>
      <c r="O52" s="310"/>
      <c r="P52" s="311"/>
      <c r="Q52" s="306"/>
      <c r="R52" s="310"/>
      <c r="S52" s="311"/>
      <c r="T52" s="306"/>
      <c r="U52" s="310"/>
      <c r="V52" s="311"/>
      <c r="W52" s="306"/>
      <c r="X52" s="310"/>
      <c r="Y52" s="311"/>
      <c r="Z52" s="306"/>
      <c r="AA52" s="310"/>
      <c r="AB52" s="311"/>
      <c r="AC52" s="306"/>
      <c r="AD52" s="310"/>
      <c r="AE52" s="311"/>
      <c r="AF52" s="306"/>
      <c r="AG52" s="310"/>
      <c r="AH52" s="311"/>
      <c r="AI52" s="306"/>
      <c r="AJ52" s="310"/>
      <c r="AK52" s="311"/>
      <c r="AL52" s="306"/>
      <c r="AM52" s="310"/>
      <c r="AN52" s="311"/>
      <c r="AO52" s="306"/>
      <c r="AP52" s="310"/>
      <c r="AQ52" s="311"/>
      <c r="AR52" s="306"/>
      <c r="AS52" s="310"/>
      <c r="AT52" s="311"/>
      <c r="AU52" s="306"/>
      <c r="AV52" s="310"/>
      <c r="AW52" s="311"/>
      <c r="AX52" s="306"/>
      <c r="AY52" s="310"/>
      <c r="AZ52" s="311"/>
      <c r="BA52" s="306"/>
      <c r="BB52" s="310"/>
      <c r="BC52" s="311"/>
      <c r="BD52" s="306"/>
      <c r="BE52" s="312"/>
      <c r="BF52" s="312"/>
      <c r="BG52" s="312"/>
      <c r="BH52" s="312"/>
      <c r="BI52" s="312"/>
      <c r="BJ52" s="312"/>
      <c r="BK52" s="312"/>
      <c r="BL52" s="312"/>
      <c r="BM52" s="312"/>
      <c r="BN52" s="312"/>
      <c r="BO52" s="312"/>
      <c r="BP52" s="312"/>
      <c r="BQ52" s="312"/>
      <c r="BR52" s="312"/>
      <c r="BS52" s="312"/>
      <c r="BT52" s="312"/>
      <c r="BU52" s="312"/>
      <c r="BV52" s="312"/>
      <c r="BW52" s="312"/>
      <c r="BX52" s="312"/>
      <c r="BY52" s="312"/>
      <c r="BZ52" s="312"/>
      <c r="CA52" s="312"/>
      <c r="CB52" s="312"/>
      <c r="CC52" s="312"/>
      <c r="CD52" s="312"/>
      <c r="CE52" s="312"/>
      <c r="CF52" s="312"/>
      <c r="CG52" s="312"/>
      <c r="CH52" s="312"/>
      <c r="CI52" s="312"/>
      <c r="CJ52" s="312"/>
      <c r="CK52" s="312"/>
      <c r="CL52" s="312"/>
      <c r="CM52" s="312"/>
      <c r="CN52" s="312"/>
      <c r="CO52" s="312"/>
      <c r="CP52" s="312"/>
      <c r="CQ52" s="312"/>
      <c r="CR52" s="312"/>
    </row>
    <row r="53" spans="1:96" s="321" customFormat="1" ht="15.75" customHeight="1">
      <c r="A53" s="314"/>
      <c r="B53" s="315"/>
      <c r="C53" s="317"/>
      <c r="D53" s="317"/>
      <c r="E53" s="318"/>
      <c r="F53" s="316"/>
      <c r="G53" s="317"/>
      <c r="H53" s="318"/>
      <c r="I53" s="316"/>
      <c r="J53" s="317"/>
      <c r="K53" s="318"/>
      <c r="L53" s="316"/>
      <c r="M53" s="317"/>
      <c r="N53" s="318"/>
      <c r="O53" s="316"/>
      <c r="P53" s="317"/>
      <c r="Q53" s="318"/>
      <c r="R53" s="316"/>
      <c r="S53" s="317"/>
      <c r="T53" s="318"/>
      <c r="U53" s="316"/>
      <c r="V53" s="317"/>
      <c r="W53" s="318"/>
      <c r="X53" s="316"/>
      <c r="Y53" s="317"/>
      <c r="Z53" s="318"/>
      <c r="AA53" s="316"/>
      <c r="AB53" s="317"/>
      <c r="AC53" s="318"/>
      <c r="AD53" s="316"/>
      <c r="AE53" s="317"/>
      <c r="AF53" s="318"/>
      <c r="AG53" s="316"/>
      <c r="AH53" s="317"/>
      <c r="AI53" s="318"/>
      <c r="AJ53" s="316"/>
      <c r="AK53" s="317"/>
      <c r="AL53" s="318"/>
      <c r="AM53" s="316"/>
      <c r="AN53" s="317"/>
      <c r="AO53" s="318"/>
      <c r="AP53" s="316"/>
      <c r="AQ53" s="317"/>
      <c r="AR53" s="318"/>
      <c r="AS53" s="316"/>
      <c r="AT53" s="317"/>
      <c r="AU53" s="318"/>
      <c r="AV53" s="316"/>
      <c r="AW53" s="317"/>
      <c r="AX53" s="318"/>
      <c r="AY53" s="316"/>
      <c r="AZ53" s="317"/>
      <c r="BA53" s="318"/>
      <c r="BB53" s="316"/>
      <c r="BC53" s="317"/>
      <c r="BD53" s="318">
        <f>IF(BB53&gt;0,(((BC53-BB53)/BB53)*100),0)</f>
        <v>0</v>
      </c>
      <c r="BE53" s="320"/>
      <c r="BF53" s="320"/>
      <c r="BG53" s="320"/>
      <c r="BH53" s="320"/>
      <c r="BI53" s="320"/>
      <c r="BJ53" s="320"/>
      <c r="BK53" s="320"/>
      <c r="BL53" s="320"/>
      <c r="BM53" s="320"/>
      <c r="BN53" s="320"/>
      <c r="BO53" s="320"/>
      <c r="BP53" s="320"/>
      <c r="BQ53" s="320"/>
      <c r="BR53" s="320"/>
      <c r="BS53" s="320"/>
      <c r="BT53" s="320"/>
      <c r="BU53" s="320"/>
      <c r="BV53" s="320"/>
      <c r="BW53" s="320"/>
      <c r="BX53" s="320"/>
      <c r="BY53" s="320"/>
      <c r="BZ53" s="320"/>
      <c r="CA53" s="320"/>
      <c r="CB53" s="320"/>
      <c r="CC53" s="320"/>
      <c r="CD53" s="320"/>
      <c r="CE53" s="320"/>
      <c r="CF53" s="320"/>
      <c r="CG53" s="320"/>
      <c r="CH53" s="320"/>
      <c r="CI53" s="320"/>
      <c r="CJ53" s="320"/>
      <c r="CK53" s="320"/>
      <c r="CL53" s="320"/>
      <c r="CM53" s="320"/>
      <c r="CN53" s="320"/>
      <c r="CO53" s="320"/>
      <c r="CP53" s="320"/>
      <c r="CQ53" s="320"/>
      <c r="CR53" s="320"/>
    </row>
    <row r="54" spans="1:96" s="300" customFormat="1" ht="15.75" customHeight="1" thickBot="1">
      <c r="A54" s="304" t="s">
        <v>958</v>
      </c>
      <c r="B54" s="305" t="s">
        <v>665</v>
      </c>
      <c r="C54" s="311">
        <v>2859.6</v>
      </c>
      <c r="D54" s="311">
        <v>3037.5</v>
      </c>
      <c r="E54" s="306">
        <f aca="true" t="shared" si="6" ref="E54:E65">IF(C54&gt;0,(((D54-C54)/C54)*100),0)</f>
        <v>6.221149811162404</v>
      </c>
      <c r="F54" s="333">
        <v>13887.6</v>
      </c>
      <c r="G54" s="334">
        <v>15671.7</v>
      </c>
      <c r="H54" s="335">
        <f aca="true" t="shared" si="7" ref="H54:H65">IF(F54&gt;0,(((G54-F54)/F54)*100),0)</f>
        <v>12.846712174889833</v>
      </c>
      <c r="I54" s="333">
        <v>4926.24</v>
      </c>
      <c r="J54" s="334">
        <v>5483.52</v>
      </c>
      <c r="K54" s="335">
        <f aca="true" t="shared" si="8" ref="K54:K61">IF(I54&gt;0,(((J54-I54)/I54)*100),0)</f>
        <v>11.312481730488175</v>
      </c>
      <c r="L54" s="333">
        <v>18588.72</v>
      </c>
      <c r="M54" s="334">
        <v>21238.08</v>
      </c>
      <c r="N54" s="335">
        <f aca="true" t="shared" si="9" ref="N54:N61">IF(L54&gt;0,(((M54-L54)/L54)*100),0)</f>
        <v>14.252514428104787</v>
      </c>
      <c r="O54" s="310"/>
      <c r="P54" s="311"/>
      <c r="Q54" s="306"/>
      <c r="R54" s="310"/>
      <c r="S54" s="311"/>
      <c r="T54" s="306"/>
      <c r="U54" s="310"/>
      <c r="V54" s="311"/>
      <c r="W54" s="306"/>
      <c r="X54" s="310"/>
      <c r="Y54" s="311"/>
      <c r="Z54" s="306"/>
      <c r="AA54" s="310"/>
      <c r="AB54" s="311"/>
      <c r="AC54" s="306"/>
      <c r="AD54" s="310"/>
      <c r="AE54" s="311"/>
      <c r="AF54" s="306"/>
      <c r="AG54" s="310"/>
      <c r="AH54" s="311"/>
      <c r="AI54" s="306"/>
      <c r="AJ54" s="310"/>
      <c r="AK54" s="311"/>
      <c r="AL54" s="306"/>
      <c r="AM54" s="310"/>
      <c r="AN54" s="311"/>
      <c r="AO54" s="306"/>
      <c r="AP54" s="310"/>
      <c r="AQ54" s="311"/>
      <c r="AR54" s="306"/>
      <c r="AS54" s="310"/>
      <c r="AT54" s="311"/>
      <c r="AU54" s="306"/>
      <c r="AV54" s="310"/>
      <c r="AW54" s="311"/>
      <c r="AX54" s="306"/>
      <c r="AY54" s="310"/>
      <c r="AZ54" s="311"/>
      <c r="BA54" s="306"/>
      <c r="BB54" s="310"/>
      <c r="BC54" s="311"/>
      <c r="BD54" s="306"/>
      <c r="BE54" s="312"/>
      <c r="BF54" s="312"/>
      <c r="BG54" s="312"/>
      <c r="BH54" s="312"/>
      <c r="BI54" s="312"/>
      <c r="BJ54" s="312"/>
      <c r="BK54" s="312"/>
      <c r="BL54" s="312"/>
      <c r="BM54" s="312"/>
      <c r="BN54" s="312"/>
      <c r="BO54" s="312"/>
      <c r="BP54" s="312"/>
      <c r="BQ54" s="312"/>
      <c r="BR54" s="312"/>
      <c r="BS54" s="312"/>
      <c r="BT54" s="312"/>
      <c r="BU54" s="312"/>
      <c r="BV54" s="312"/>
      <c r="BW54" s="312"/>
      <c r="BX54" s="312"/>
      <c r="BY54" s="312"/>
      <c r="BZ54" s="312"/>
      <c r="CA54" s="312"/>
      <c r="CB54" s="312"/>
      <c r="CC54" s="312"/>
      <c r="CD54" s="312"/>
      <c r="CE54" s="312"/>
      <c r="CF54" s="312"/>
      <c r="CG54" s="312"/>
      <c r="CH54" s="312"/>
      <c r="CI54" s="312"/>
      <c r="CJ54" s="312"/>
      <c r="CK54" s="312"/>
      <c r="CL54" s="312"/>
      <c r="CM54" s="312"/>
      <c r="CN54" s="312"/>
      <c r="CO54" s="312"/>
      <c r="CP54" s="312"/>
      <c r="CQ54" s="312"/>
      <c r="CR54" s="312"/>
    </row>
    <row r="55" spans="1:96" s="300" customFormat="1" ht="15.75" customHeight="1" thickBot="1">
      <c r="A55" s="313"/>
      <c r="B55" s="305" t="s">
        <v>666</v>
      </c>
      <c r="C55" s="311">
        <v>2942.7</v>
      </c>
      <c r="D55" s="311">
        <v>3157.6</v>
      </c>
      <c r="E55" s="306">
        <f t="shared" si="6"/>
        <v>7.30281714072111</v>
      </c>
      <c r="F55" s="307">
        <v>13955.1</v>
      </c>
      <c r="G55" s="308">
        <v>15664</v>
      </c>
      <c r="H55" s="309">
        <f t="shared" si="7"/>
        <v>12.245702288052392</v>
      </c>
      <c r="I55" s="307">
        <v>5060.04</v>
      </c>
      <c r="J55" s="308">
        <v>5663.52</v>
      </c>
      <c r="K55" s="309">
        <f t="shared" si="8"/>
        <v>11.926387933692233</v>
      </c>
      <c r="L55" s="307">
        <v>18722.52</v>
      </c>
      <c r="M55" s="308">
        <v>21034.32</v>
      </c>
      <c r="N55" s="309">
        <f t="shared" si="9"/>
        <v>12.347696784407223</v>
      </c>
      <c r="O55" s="310"/>
      <c r="P55" s="311"/>
      <c r="Q55" s="306"/>
      <c r="R55" s="310"/>
      <c r="S55" s="311"/>
      <c r="T55" s="306"/>
      <c r="U55" s="310"/>
      <c r="V55" s="311"/>
      <c r="W55" s="306"/>
      <c r="X55" s="310"/>
      <c r="Y55" s="311"/>
      <c r="Z55" s="306"/>
      <c r="AA55" s="310"/>
      <c r="AB55" s="311"/>
      <c r="AC55" s="306"/>
      <c r="AD55" s="310"/>
      <c r="AE55" s="311"/>
      <c r="AF55" s="306"/>
      <c r="AG55" s="310"/>
      <c r="AH55" s="311"/>
      <c r="AI55" s="306"/>
      <c r="AJ55" s="310"/>
      <c r="AK55" s="311"/>
      <c r="AL55" s="306"/>
      <c r="AM55" s="310"/>
      <c r="AN55" s="311"/>
      <c r="AO55" s="306"/>
      <c r="AP55" s="310"/>
      <c r="AQ55" s="311"/>
      <c r="AR55" s="306"/>
      <c r="AS55" s="310"/>
      <c r="AT55" s="311"/>
      <c r="AU55" s="306"/>
      <c r="AV55" s="310"/>
      <c r="AW55" s="311"/>
      <c r="AX55" s="306"/>
      <c r="AY55" s="310"/>
      <c r="AZ55" s="311"/>
      <c r="BA55" s="306"/>
      <c r="BB55" s="310"/>
      <c r="BC55" s="311"/>
      <c r="BD55" s="306"/>
      <c r="BE55" s="312"/>
      <c r="BF55" s="312"/>
      <c r="BG55" s="312"/>
      <c r="BH55" s="312"/>
      <c r="BI55" s="312"/>
      <c r="BJ55" s="312"/>
      <c r="BK55" s="312"/>
      <c r="BL55" s="312"/>
      <c r="BM55" s="312"/>
      <c r="BN55" s="312"/>
      <c r="BO55" s="312"/>
      <c r="BP55" s="312"/>
      <c r="BQ55" s="312"/>
      <c r="BR55" s="312"/>
      <c r="BS55" s="312"/>
      <c r="BT55" s="312"/>
      <c r="BU55" s="312"/>
      <c r="BV55" s="312"/>
      <c r="BW55" s="312"/>
      <c r="BX55" s="312"/>
      <c r="BY55" s="312"/>
      <c r="BZ55" s="312"/>
      <c r="CA55" s="312"/>
      <c r="CB55" s="312"/>
      <c r="CC55" s="312"/>
      <c r="CD55" s="312"/>
      <c r="CE55" s="312"/>
      <c r="CF55" s="312"/>
      <c r="CG55" s="312"/>
      <c r="CH55" s="312"/>
      <c r="CI55" s="312"/>
      <c r="CJ55" s="312"/>
      <c r="CK55" s="312"/>
      <c r="CL55" s="312"/>
      <c r="CM55" s="312"/>
      <c r="CN55" s="312"/>
      <c r="CO55" s="312"/>
      <c r="CP55" s="312"/>
      <c r="CQ55" s="312"/>
      <c r="CR55" s="312"/>
    </row>
    <row r="56" spans="1:96" s="300" customFormat="1" ht="15.75" customHeight="1" thickBot="1">
      <c r="A56" s="313"/>
      <c r="B56" s="305" t="s">
        <v>667</v>
      </c>
      <c r="C56" s="311">
        <v>2912.86</v>
      </c>
      <c r="D56" s="311">
        <v>3063.7</v>
      </c>
      <c r="E56" s="306">
        <f t="shared" si="6"/>
        <v>5.178415715139062</v>
      </c>
      <c r="F56" s="307">
        <v>13268.1</v>
      </c>
      <c r="G56" s="308">
        <v>15160.3</v>
      </c>
      <c r="H56" s="309">
        <f t="shared" si="7"/>
        <v>14.261273279520042</v>
      </c>
      <c r="I56" s="307">
        <v>4988.88</v>
      </c>
      <c r="J56" s="308">
        <v>5550.96</v>
      </c>
      <c r="K56" s="309">
        <f t="shared" si="8"/>
        <v>11.266657045268676</v>
      </c>
      <c r="L56" s="307">
        <v>17831.28</v>
      </c>
      <c r="M56" s="308">
        <v>20224</v>
      </c>
      <c r="N56" s="309">
        <f t="shared" si="9"/>
        <v>13.418666523098741</v>
      </c>
      <c r="O56" s="310"/>
      <c r="P56" s="311"/>
      <c r="Q56" s="306"/>
      <c r="R56" s="310"/>
      <c r="S56" s="311"/>
      <c r="T56" s="306"/>
      <c r="U56" s="310"/>
      <c r="V56" s="311"/>
      <c r="W56" s="306"/>
      <c r="X56" s="310"/>
      <c r="Y56" s="311"/>
      <c r="Z56" s="306"/>
      <c r="AA56" s="310"/>
      <c r="AB56" s="311"/>
      <c r="AC56" s="306"/>
      <c r="AD56" s="310"/>
      <c r="AE56" s="311"/>
      <c r="AF56" s="306"/>
      <c r="AG56" s="310"/>
      <c r="AH56" s="311"/>
      <c r="AI56" s="306"/>
      <c r="AJ56" s="310"/>
      <c r="AK56" s="311"/>
      <c r="AL56" s="306"/>
      <c r="AM56" s="310"/>
      <c r="AN56" s="311"/>
      <c r="AO56" s="306"/>
      <c r="AP56" s="310"/>
      <c r="AQ56" s="311"/>
      <c r="AR56" s="306"/>
      <c r="AS56" s="310"/>
      <c r="AT56" s="311"/>
      <c r="AU56" s="306"/>
      <c r="AV56" s="310"/>
      <c r="AW56" s="311"/>
      <c r="AX56" s="306"/>
      <c r="AY56" s="310"/>
      <c r="AZ56" s="311"/>
      <c r="BA56" s="306"/>
      <c r="BB56" s="310"/>
      <c r="BC56" s="311"/>
      <c r="BD56" s="306"/>
      <c r="BE56" s="312"/>
      <c r="BF56" s="312"/>
      <c r="BG56" s="312"/>
      <c r="BH56" s="312"/>
      <c r="BI56" s="312"/>
      <c r="BJ56" s="312"/>
      <c r="BK56" s="312"/>
      <c r="BL56" s="312"/>
      <c r="BM56" s="312"/>
      <c r="BN56" s="312"/>
      <c r="BO56" s="312"/>
      <c r="BP56" s="312"/>
      <c r="BQ56" s="312"/>
      <c r="BR56" s="312"/>
      <c r="BS56" s="312"/>
      <c r="BT56" s="312"/>
      <c r="BU56" s="312"/>
      <c r="BV56" s="312"/>
      <c r="BW56" s="312"/>
      <c r="BX56" s="312"/>
      <c r="BY56" s="312"/>
      <c r="BZ56" s="312"/>
      <c r="CA56" s="312"/>
      <c r="CB56" s="312"/>
      <c r="CC56" s="312"/>
      <c r="CD56" s="312"/>
      <c r="CE56" s="312"/>
      <c r="CF56" s="312"/>
      <c r="CG56" s="312"/>
      <c r="CH56" s="312"/>
      <c r="CI56" s="312"/>
      <c r="CJ56" s="312"/>
      <c r="CK56" s="312"/>
      <c r="CL56" s="312"/>
      <c r="CM56" s="312"/>
      <c r="CN56" s="312"/>
      <c r="CO56" s="312"/>
      <c r="CP56" s="312"/>
      <c r="CQ56" s="312"/>
      <c r="CR56" s="312"/>
    </row>
    <row r="57" spans="1:96" s="300" customFormat="1" ht="15.75" customHeight="1" thickBot="1">
      <c r="A57" s="313"/>
      <c r="B57" s="305" t="s">
        <v>668</v>
      </c>
      <c r="C57" s="311"/>
      <c r="D57" s="311"/>
      <c r="E57" s="306">
        <f t="shared" si="6"/>
        <v>0</v>
      </c>
      <c r="F57" s="310"/>
      <c r="G57" s="311"/>
      <c r="H57" s="306">
        <f t="shared" si="7"/>
        <v>0</v>
      </c>
      <c r="I57" s="310"/>
      <c r="J57" s="311"/>
      <c r="K57" s="306">
        <f t="shared" si="8"/>
        <v>0</v>
      </c>
      <c r="L57" s="310"/>
      <c r="M57" s="311"/>
      <c r="N57" s="306">
        <f t="shared" si="9"/>
        <v>0</v>
      </c>
      <c r="O57" s="310"/>
      <c r="P57" s="311"/>
      <c r="Q57" s="306"/>
      <c r="R57" s="310"/>
      <c r="S57" s="311"/>
      <c r="T57" s="306"/>
      <c r="U57" s="310"/>
      <c r="V57" s="311"/>
      <c r="W57" s="306"/>
      <c r="X57" s="310"/>
      <c r="Y57" s="311"/>
      <c r="Z57" s="306"/>
      <c r="AA57" s="310"/>
      <c r="AB57" s="311"/>
      <c r="AC57" s="306"/>
      <c r="AD57" s="310"/>
      <c r="AE57" s="311"/>
      <c r="AF57" s="306"/>
      <c r="AG57" s="310"/>
      <c r="AH57" s="311"/>
      <c r="AI57" s="306"/>
      <c r="AJ57" s="310"/>
      <c r="AK57" s="311"/>
      <c r="AL57" s="306"/>
      <c r="AM57" s="310"/>
      <c r="AN57" s="311"/>
      <c r="AO57" s="306"/>
      <c r="AP57" s="310"/>
      <c r="AQ57" s="311"/>
      <c r="AR57" s="306"/>
      <c r="AS57" s="310"/>
      <c r="AT57" s="311"/>
      <c r="AU57" s="306"/>
      <c r="AV57" s="310"/>
      <c r="AW57" s="311"/>
      <c r="AX57" s="306"/>
      <c r="AY57" s="310"/>
      <c r="AZ57" s="311"/>
      <c r="BA57" s="306"/>
      <c r="BB57" s="310"/>
      <c r="BC57" s="311"/>
      <c r="BD57" s="306"/>
      <c r="BE57" s="312"/>
      <c r="BF57" s="312"/>
      <c r="BG57" s="312"/>
      <c r="BH57" s="312"/>
      <c r="BI57" s="312"/>
      <c r="BJ57" s="312"/>
      <c r="BK57" s="312"/>
      <c r="BL57" s="312"/>
      <c r="BM57" s="312"/>
      <c r="BN57" s="312"/>
      <c r="BO57" s="312"/>
      <c r="BP57" s="312"/>
      <c r="BQ57" s="312"/>
      <c r="BR57" s="312"/>
      <c r="BS57" s="312"/>
      <c r="BT57" s="312"/>
      <c r="BU57" s="312"/>
      <c r="BV57" s="312"/>
      <c r="BW57" s="312"/>
      <c r="BX57" s="312"/>
      <c r="BY57" s="312"/>
      <c r="BZ57" s="312"/>
      <c r="CA57" s="312"/>
      <c r="CB57" s="312"/>
      <c r="CC57" s="312"/>
      <c r="CD57" s="312"/>
      <c r="CE57" s="312"/>
      <c r="CF57" s="312"/>
      <c r="CG57" s="312"/>
      <c r="CH57" s="312"/>
      <c r="CI57" s="312"/>
      <c r="CJ57" s="312"/>
      <c r="CK57" s="312"/>
      <c r="CL57" s="312"/>
      <c r="CM57" s="312"/>
      <c r="CN57" s="312"/>
      <c r="CO57" s="312"/>
      <c r="CP57" s="312"/>
      <c r="CQ57" s="312"/>
      <c r="CR57" s="312"/>
    </row>
    <row r="58" spans="1:96" s="300" customFormat="1" ht="15.75" customHeight="1" thickBot="1">
      <c r="A58" s="313"/>
      <c r="B58" s="305" t="s">
        <v>669</v>
      </c>
      <c r="C58" s="311">
        <v>2908.4</v>
      </c>
      <c r="D58" s="311">
        <v>3150.5</v>
      </c>
      <c r="E58" s="306">
        <f t="shared" si="6"/>
        <v>8.324164489066149</v>
      </c>
      <c r="F58" s="307">
        <v>13263.2</v>
      </c>
      <c r="G58" s="308">
        <v>15247.1</v>
      </c>
      <c r="H58" s="309">
        <f t="shared" si="7"/>
        <v>14.957928704988236</v>
      </c>
      <c r="I58" s="307">
        <v>4780.52</v>
      </c>
      <c r="J58" s="308">
        <v>5363.96</v>
      </c>
      <c r="K58" s="309">
        <f t="shared" si="8"/>
        <v>12.204530051124136</v>
      </c>
      <c r="L58" s="307">
        <v>17609.24</v>
      </c>
      <c r="M58" s="308">
        <v>20270.6</v>
      </c>
      <c r="N58" s="309">
        <f t="shared" si="9"/>
        <v>15.113429086093419</v>
      </c>
      <c r="O58" s="310"/>
      <c r="P58" s="311"/>
      <c r="Q58" s="306"/>
      <c r="R58" s="310"/>
      <c r="S58" s="311"/>
      <c r="T58" s="306"/>
      <c r="U58" s="310"/>
      <c r="V58" s="311"/>
      <c r="W58" s="306"/>
      <c r="X58" s="310"/>
      <c r="Y58" s="311"/>
      <c r="Z58" s="306"/>
      <c r="AA58" s="310"/>
      <c r="AB58" s="311"/>
      <c r="AC58" s="306"/>
      <c r="AD58" s="310"/>
      <c r="AE58" s="311"/>
      <c r="AF58" s="306"/>
      <c r="AG58" s="310"/>
      <c r="AH58" s="311"/>
      <c r="AI58" s="306"/>
      <c r="AJ58" s="310"/>
      <c r="AK58" s="311"/>
      <c r="AL58" s="306"/>
      <c r="AM58" s="310"/>
      <c r="AN58" s="311"/>
      <c r="AO58" s="306"/>
      <c r="AP58" s="310"/>
      <c r="AQ58" s="311"/>
      <c r="AR58" s="306"/>
      <c r="AS58" s="310"/>
      <c r="AT58" s="311"/>
      <c r="AU58" s="306"/>
      <c r="AV58" s="310"/>
      <c r="AW58" s="311"/>
      <c r="AX58" s="306"/>
      <c r="AY58" s="310"/>
      <c r="AZ58" s="311"/>
      <c r="BA58" s="306"/>
      <c r="BB58" s="310"/>
      <c r="BC58" s="311"/>
      <c r="BD58" s="306"/>
      <c r="BE58" s="312"/>
      <c r="BF58" s="312"/>
      <c r="BG58" s="312"/>
      <c r="BH58" s="312"/>
      <c r="BI58" s="312"/>
      <c r="BJ58" s="312"/>
      <c r="BK58" s="312"/>
      <c r="BL58" s="312"/>
      <c r="BM58" s="312"/>
      <c r="BN58" s="312"/>
      <c r="BO58" s="312"/>
      <c r="BP58" s="312"/>
      <c r="BQ58" s="312"/>
      <c r="BR58" s="312"/>
      <c r="BS58" s="312"/>
      <c r="BT58" s="312"/>
      <c r="BU58" s="312"/>
      <c r="BV58" s="312"/>
      <c r="BW58" s="312"/>
      <c r="BX58" s="312"/>
      <c r="BY58" s="312"/>
      <c r="BZ58" s="312"/>
      <c r="CA58" s="312"/>
      <c r="CB58" s="312"/>
      <c r="CC58" s="312"/>
      <c r="CD58" s="312"/>
      <c r="CE58" s="312"/>
      <c r="CF58" s="312"/>
      <c r="CG58" s="312"/>
      <c r="CH58" s="312"/>
      <c r="CI58" s="312"/>
      <c r="CJ58" s="312"/>
      <c r="CK58" s="312"/>
      <c r="CL58" s="312"/>
      <c r="CM58" s="312"/>
      <c r="CN58" s="312"/>
      <c r="CO58" s="312"/>
      <c r="CP58" s="312"/>
      <c r="CQ58" s="312"/>
      <c r="CR58" s="312"/>
    </row>
    <row r="59" spans="1:96" s="300" customFormat="1" ht="15.75" customHeight="1" thickBot="1">
      <c r="A59" s="313"/>
      <c r="B59" s="305" t="s">
        <v>670</v>
      </c>
      <c r="C59" s="311">
        <v>2701.3</v>
      </c>
      <c r="D59" s="311">
        <v>2876.7</v>
      </c>
      <c r="E59" s="306">
        <f t="shared" si="6"/>
        <v>6.493169955206739</v>
      </c>
      <c r="F59" s="307">
        <v>13729.3</v>
      </c>
      <c r="G59" s="308">
        <v>15383.1</v>
      </c>
      <c r="H59" s="309">
        <f t="shared" si="7"/>
        <v>12.04577072392621</v>
      </c>
      <c r="I59" s="310">
        <v>0</v>
      </c>
      <c r="J59" s="311">
        <v>0</v>
      </c>
      <c r="K59" s="306"/>
      <c r="L59" s="310">
        <v>0</v>
      </c>
      <c r="M59" s="311">
        <v>0</v>
      </c>
      <c r="N59" s="306"/>
      <c r="O59" s="310"/>
      <c r="P59" s="311"/>
      <c r="Q59" s="306"/>
      <c r="R59" s="310"/>
      <c r="S59" s="311"/>
      <c r="T59" s="306"/>
      <c r="U59" s="310"/>
      <c r="V59" s="311"/>
      <c r="W59" s="306"/>
      <c r="X59" s="310"/>
      <c r="Y59" s="311"/>
      <c r="Z59" s="306"/>
      <c r="AA59" s="310"/>
      <c r="AB59" s="311"/>
      <c r="AC59" s="306"/>
      <c r="AD59" s="310"/>
      <c r="AE59" s="311"/>
      <c r="AF59" s="306"/>
      <c r="AG59" s="310"/>
      <c r="AH59" s="311"/>
      <c r="AI59" s="306"/>
      <c r="AJ59" s="310"/>
      <c r="AK59" s="311"/>
      <c r="AL59" s="306"/>
      <c r="AM59" s="310"/>
      <c r="AN59" s="311"/>
      <c r="AO59" s="306"/>
      <c r="AP59" s="310"/>
      <c r="AQ59" s="311"/>
      <c r="AR59" s="306"/>
      <c r="AS59" s="310"/>
      <c r="AT59" s="311"/>
      <c r="AU59" s="306"/>
      <c r="AV59" s="310"/>
      <c r="AW59" s="311"/>
      <c r="AX59" s="306"/>
      <c r="AY59" s="310"/>
      <c r="AZ59" s="311"/>
      <c r="BA59" s="306"/>
      <c r="BB59" s="310"/>
      <c r="BC59" s="311"/>
      <c r="BD59" s="306"/>
      <c r="BE59" s="312"/>
      <c r="BF59" s="312"/>
      <c r="BG59" s="312"/>
      <c r="BH59" s="312"/>
      <c r="BI59" s="312"/>
      <c r="BJ59" s="312"/>
      <c r="BK59" s="312"/>
      <c r="BL59" s="312"/>
      <c r="BM59" s="312"/>
      <c r="BN59" s="312"/>
      <c r="BO59" s="312"/>
      <c r="BP59" s="312"/>
      <c r="BQ59" s="312"/>
      <c r="BR59" s="312"/>
      <c r="BS59" s="312"/>
      <c r="BT59" s="312"/>
      <c r="BU59" s="312"/>
      <c r="BV59" s="312"/>
      <c r="BW59" s="312"/>
      <c r="BX59" s="312"/>
      <c r="BY59" s="312"/>
      <c r="BZ59" s="312"/>
      <c r="CA59" s="312"/>
      <c r="CB59" s="312"/>
      <c r="CC59" s="312"/>
      <c r="CD59" s="312"/>
      <c r="CE59" s="312"/>
      <c r="CF59" s="312"/>
      <c r="CG59" s="312"/>
      <c r="CH59" s="312"/>
      <c r="CI59" s="312"/>
      <c r="CJ59" s="312"/>
      <c r="CK59" s="312"/>
      <c r="CL59" s="312"/>
      <c r="CM59" s="312"/>
      <c r="CN59" s="312"/>
      <c r="CO59" s="312"/>
      <c r="CP59" s="312"/>
      <c r="CQ59" s="312"/>
      <c r="CR59" s="312"/>
    </row>
    <row r="60" spans="1:96" s="300" customFormat="1" ht="15.75" customHeight="1" thickBot="1">
      <c r="A60" s="313"/>
      <c r="B60" s="305" t="s">
        <v>1041</v>
      </c>
      <c r="C60" s="311">
        <v>2908.4</v>
      </c>
      <c r="D60" s="311">
        <v>3092.1</v>
      </c>
      <c r="E60" s="306">
        <f t="shared" si="6"/>
        <v>6.3161875945537</v>
      </c>
      <c r="F60" s="307">
        <v>13883.7</v>
      </c>
      <c r="G60" s="308">
        <v>15545.7</v>
      </c>
      <c r="H60" s="309">
        <f t="shared" si="7"/>
        <v>11.970872317897967</v>
      </c>
      <c r="I60" s="307">
        <v>4995.72</v>
      </c>
      <c r="J60" s="308">
        <v>5559.12</v>
      </c>
      <c r="K60" s="309">
        <f t="shared" si="8"/>
        <v>11.277653671542833</v>
      </c>
      <c r="L60" s="307">
        <v>18596.16</v>
      </c>
      <c r="M60" s="308">
        <v>20894.52</v>
      </c>
      <c r="N60" s="309">
        <f t="shared" si="9"/>
        <v>12.359325796293431</v>
      </c>
      <c r="O60" s="310"/>
      <c r="P60" s="311"/>
      <c r="Q60" s="306"/>
      <c r="R60" s="310"/>
      <c r="S60" s="311"/>
      <c r="T60" s="306"/>
      <c r="U60" s="310"/>
      <c r="V60" s="311"/>
      <c r="W60" s="306"/>
      <c r="X60" s="310"/>
      <c r="Y60" s="311"/>
      <c r="Z60" s="306"/>
      <c r="AA60" s="310"/>
      <c r="AB60" s="311"/>
      <c r="AC60" s="306"/>
      <c r="AD60" s="310"/>
      <c r="AE60" s="311"/>
      <c r="AF60" s="306"/>
      <c r="AG60" s="310"/>
      <c r="AH60" s="311"/>
      <c r="AI60" s="306"/>
      <c r="AJ60" s="310"/>
      <c r="AK60" s="311"/>
      <c r="AL60" s="306"/>
      <c r="AM60" s="310"/>
      <c r="AN60" s="311"/>
      <c r="AO60" s="306"/>
      <c r="AP60" s="310"/>
      <c r="AQ60" s="311"/>
      <c r="AR60" s="306"/>
      <c r="AS60" s="310"/>
      <c r="AT60" s="311"/>
      <c r="AU60" s="306"/>
      <c r="AV60" s="310"/>
      <c r="AW60" s="311"/>
      <c r="AX60" s="306"/>
      <c r="AY60" s="310"/>
      <c r="AZ60" s="311"/>
      <c r="BA60" s="306"/>
      <c r="BB60" s="310"/>
      <c r="BC60" s="311"/>
      <c r="BD60" s="306"/>
      <c r="BE60" s="312"/>
      <c r="BF60" s="312"/>
      <c r="BG60" s="312"/>
      <c r="BH60" s="312"/>
      <c r="BI60" s="312"/>
      <c r="BJ60" s="312"/>
      <c r="BK60" s="312"/>
      <c r="BL60" s="312"/>
      <c r="BM60" s="312"/>
      <c r="BN60" s="312"/>
      <c r="BO60" s="312"/>
      <c r="BP60" s="312"/>
      <c r="BQ60" s="312"/>
      <c r="BR60" s="312"/>
      <c r="BS60" s="312"/>
      <c r="BT60" s="312"/>
      <c r="BU60" s="312"/>
      <c r="BV60" s="312"/>
      <c r="BW60" s="312"/>
      <c r="BX60" s="312"/>
      <c r="BY60" s="312"/>
      <c r="BZ60" s="312"/>
      <c r="CA60" s="312"/>
      <c r="CB60" s="312"/>
      <c r="CC60" s="312"/>
      <c r="CD60" s="312"/>
      <c r="CE60" s="312"/>
      <c r="CF60" s="312"/>
      <c r="CG60" s="312"/>
      <c r="CH60" s="312"/>
      <c r="CI60" s="312"/>
      <c r="CJ60" s="312"/>
      <c r="CK60" s="312"/>
      <c r="CL60" s="312"/>
      <c r="CM60" s="312"/>
      <c r="CN60" s="312"/>
      <c r="CO60" s="312"/>
      <c r="CP60" s="312"/>
      <c r="CQ60" s="312"/>
      <c r="CR60" s="312"/>
    </row>
    <row r="61" spans="1:96" s="300" customFormat="1" ht="15.75" customHeight="1">
      <c r="A61" s="313"/>
      <c r="B61" s="305" t="s">
        <v>671</v>
      </c>
      <c r="C61" s="311"/>
      <c r="D61" s="311"/>
      <c r="E61" s="306">
        <f t="shared" si="6"/>
        <v>0</v>
      </c>
      <c r="F61" s="310"/>
      <c r="G61" s="311"/>
      <c r="H61" s="306">
        <f t="shared" si="7"/>
        <v>0</v>
      </c>
      <c r="I61" s="310"/>
      <c r="J61" s="311"/>
      <c r="K61" s="306">
        <f t="shared" si="8"/>
        <v>0</v>
      </c>
      <c r="L61" s="310"/>
      <c r="M61" s="311"/>
      <c r="N61" s="306">
        <f t="shared" si="9"/>
        <v>0</v>
      </c>
      <c r="O61" s="310"/>
      <c r="P61" s="311"/>
      <c r="Q61" s="306"/>
      <c r="R61" s="310"/>
      <c r="S61" s="311"/>
      <c r="T61" s="306"/>
      <c r="U61" s="310"/>
      <c r="V61" s="311"/>
      <c r="W61" s="306"/>
      <c r="X61" s="310"/>
      <c r="Y61" s="311"/>
      <c r="Z61" s="306"/>
      <c r="AA61" s="310"/>
      <c r="AB61" s="311"/>
      <c r="AC61" s="306"/>
      <c r="AD61" s="310"/>
      <c r="AE61" s="311"/>
      <c r="AF61" s="306"/>
      <c r="AG61" s="310"/>
      <c r="AH61" s="311"/>
      <c r="AI61" s="306"/>
      <c r="AJ61" s="310"/>
      <c r="AK61" s="311"/>
      <c r="AL61" s="306"/>
      <c r="AM61" s="310"/>
      <c r="AN61" s="311"/>
      <c r="AO61" s="306"/>
      <c r="AP61" s="310"/>
      <c r="AQ61" s="311"/>
      <c r="AR61" s="306"/>
      <c r="AS61" s="310"/>
      <c r="AT61" s="311"/>
      <c r="AU61" s="306"/>
      <c r="AV61" s="310"/>
      <c r="AW61" s="311"/>
      <c r="AX61" s="306"/>
      <c r="AY61" s="310"/>
      <c r="AZ61" s="311"/>
      <c r="BA61" s="306"/>
      <c r="BB61" s="310"/>
      <c r="BC61" s="311"/>
      <c r="BD61" s="306"/>
      <c r="BE61" s="312"/>
      <c r="BF61" s="312"/>
      <c r="BG61" s="312"/>
      <c r="BH61" s="312"/>
      <c r="BI61" s="312"/>
      <c r="BJ61" s="312"/>
      <c r="BK61" s="312"/>
      <c r="BL61" s="312"/>
      <c r="BM61" s="312"/>
      <c r="BN61" s="312"/>
      <c r="BO61" s="312"/>
      <c r="BP61" s="312"/>
      <c r="BQ61" s="312"/>
      <c r="BR61" s="312"/>
      <c r="BS61" s="312"/>
      <c r="BT61" s="312"/>
      <c r="BU61" s="312"/>
      <c r="BV61" s="312"/>
      <c r="BW61" s="312"/>
      <c r="BX61" s="312"/>
      <c r="BY61" s="312"/>
      <c r="BZ61" s="312"/>
      <c r="CA61" s="312"/>
      <c r="CB61" s="312"/>
      <c r="CC61" s="312"/>
      <c r="CD61" s="312"/>
      <c r="CE61" s="312"/>
      <c r="CF61" s="312"/>
      <c r="CG61" s="312"/>
      <c r="CH61" s="312"/>
      <c r="CI61" s="312"/>
      <c r="CJ61" s="312"/>
      <c r="CK61" s="312"/>
      <c r="CL61" s="312"/>
      <c r="CM61" s="312"/>
      <c r="CN61" s="312"/>
      <c r="CO61" s="312"/>
      <c r="CP61" s="312"/>
      <c r="CQ61" s="312"/>
      <c r="CR61" s="312"/>
    </row>
    <row r="62" spans="1:96" s="300" customFormat="1" ht="15.75" customHeight="1">
      <c r="A62" s="313"/>
      <c r="B62" s="305" t="s">
        <v>672</v>
      </c>
      <c r="C62" s="311">
        <v>1701</v>
      </c>
      <c r="D62" s="311">
        <v>1780</v>
      </c>
      <c r="E62" s="306">
        <f t="shared" si="6"/>
        <v>4.644326866549089</v>
      </c>
      <c r="F62" s="310">
        <v>6379</v>
      </c>
      <c r="G62" s="311">
        <v>6753</v>
      </c>
      <c r="H62" s="306">
        <f t="shared" si="7"/>
        <v>5.862987929142499</v>
      </c>
      <c r="I62" s="310"/>
      <c r="J62" s="311"/>
      <c r="K62" s="306"/>
      <c r="L62" s="310"/>
      <c r="M62" s="311"/>
      <c r="N62" s="306"/>
      <c r="O62" s="310"/>
      <c r="P62" s="311"/>
      <c r="Q62" s="306"/>
      <c r="R62" s="310"/>
      <c r="S62" s="311"/>
      <c r="T62" s="306"/>
      <c r="U62" s="310"/>
      <c r="V62" s="311"/>
      <c r="W62" s="306"/>
      <c r="X62" s="310"/>
      <c r="Y62" s="311"/>
      <c r="Z62" s="306"/>
      <c r="AA62" s="310"/>
      <c r="AB62" s="311"/>
      <c r="AC62" s="306"/>
      <c r="AD62" s="310"/>
      <c r="AE62" s="311"/>
      <c r="AF62" s="306"/>
      <c r="AG62" s="310"/>
      <c r="AH62" s="311"/>
      <c r="AI62" s="306"/>
      <c r="AJ62" s="310"/>
      <c r="AK62" s="311"/>
      <c r="AL62" s="306"/>
      <c r="AM62" s="310"/>
      <c r="AN62" s="311"/>
      <c r="AO62" s="306"/>
      <c r="AP62" s="310"/>
      <c r="AQ62" s="311"/>
      <c r="AR62" s="306"/>
      <c r="AS62" s="310"/>
      <c r="AT62" s="311"/>
      <c r="AU62" s="306"/>
      <c r="AV62" s="310"/>
      <c r="AW62" s="311"/>
      <c r="AX62" s="306"/>
      <c r="AY62" s="310"/>
      <c r="AZ62" s="311"/>
      <c r="BA62" s="306"/>
      <c r="BB62" s="310"/>
      <c r="BC62" s="311"/>
      <c r="BD62" s="306"/>
      <c r="BE62" s="312"/>
      <c r="BF62" s="312"/>
      <c r="BG62" s="312"/>
      <c r="BH62" s="312"/>
      <c r="BI62" s="312"/>
      <c r="BJ62" s="312"/>
      <c r="BK62" s="312"/>
      <c r="BL62" s="312"/>
      <c r="BM62" s="312"/>
      <c r="BN62" s="312"/>
      <c r="BO62" s="312"/>
      <c r="BP62" s="312"/>
      <c r="BQ62" s="312"/>
      <c r="BR62" s="312"/>
      <c r="BS62" s="312"/>
      <c r="BT62" s="312"/>
      <c r="BU62" s="312"/>
      <c r="BV62" s="312"/>
      <c r="BW62" s="312"/>
      <c r="BX62" s="312"/>
      <c r="BY62" s="312"/>
      <c r="BZ62" s="312"/>
      <c r="CA62" s="312"/>
      <c r="CB62" s="312"/>
      <c r="CC62" s="312"/>
      <c r="CD62" s="312"/>
      <c r="CE62" s="312"/>
      <c r="CF62" s="312"/>
      <c r="CG62" s="312"/>
      <c r="CH62" s="312"/>
      <c r="CI62" s="312"/>
      <c r="CJ62" s="312"/>
      <c r="CK62" s="312"/>
      <c r="CL62" s="312"/>
      <c r="CM62" s="312"/>
      <c r="CN62" s="312"/>
      <c r="CO62" s="312"/>
      <c r="CP62" s="312"/>
      <c r="CQ62" s="312"/>
      <c r="CR62" s="312"/>
    </row>
    <row r="63" spans="1:96" s="300" customFormat="1" ht="15.75" customHeight="1">
      <c r="A63" s="313"/>
      <c r="B63" s="305" t="s">
        <v>673</v>
      </c>
      <c r="C63" s="311">
        <v>1673</v>
      </c>
      <c r="D63" s="311">
        <v>1755</v>
      </c>
      <c r="E63" s="306">
        <f t="shared" si="6"/>
        <v>4.901374775851764</v>
      </c>
      <c r="F63" s="310">
        <v>6302</v>
      </c>
      <c r="G63" s="311">
        <v>6599</v>
      </c>
      <c r="H63" s="306">
        <f t="shared" si="7"/>
        <v>4.712789590606157</v>
      </c>
      <c r="I63" s="310"/>
      <c r="J63" s="311"/>
      <c r="K63" s="306"/>
      <c r="L63" s="310"/>
      <c r="M63" s="311"/>
      <c r="N63" s="306"/>
      <c r="O63" s="310"/>
      <c r="P63" s="311"/>
      <c r="Q63" s="306"/>
      <c r="R63" s="310"/>
      <c r="S63" s="311"/>
      <c r="T63" s="306"/>
      <c r="U63" s="310"/>
      <c r="V63" s="311"/>
      <c r="W63" s="306"/>
      <c r="X63" s="310"/>
      <c r="Y63" s="311"/>
      <c r="Z63" s="306"/>
      <c r="AA63" s="310"/>
      <c r="AB63" s="311"/>
      <c r="AC63" s="306"/>
      <c r="AD63" s="310"/>
      <c r="AE63" s="311"/>
      <c r="AF63" s="306"/>
      <c r="AG63" s="310"/>
      <c r="AH63" s="311"/>
      <c r="AI63" s="306"/>
      <c r="AJ63" s="310"/>
      <c r="AK63" s="311"/>
      <c r="AL63" s="306"/>
      <c r="AM63" s="310"/>
      <c r="AN63" s="311"/>
      <c r="AO63" s="306"/>
      <c r="AP63" s="310"/>
      <c r="AQ63" s="311"/>
      <c r="AR63" s="306"/>
      <c r="AS63" s="310"/>
      <c r="AT63" s="311"/>
      <c r="AU63" s="306"/>
      <c r="AV63" s="310"/>
      <c r="AW63" s="311"/>
      <c r="AX63" s="306"/>
      <c r="AY63" s="310"/>
      <c r="AZ63" s="311"/>
      <c r="BA63" s="306"/>
      <c r="BB63" s="310"/>
      <c r="BC63" s="311"/>
      <c r="BD63" s="306"/>
      <c r="BE63" s="312"/>
      <c r="BF63" s="312"/>
      <c r="BG63" s="312"/>
      <c r="BH63" s="312"/>
      <c r="BI63" s="312"/>
      <c r="BJ63" s="312"/>
      <c r="BK63" s="312"/>
      <c r="BL63" s="312"/>
      <c r="BM63" s="312"/>
      <c r="BN63" s="312"/>
      <c r="BO63" s="312"/>
      <c r="BP63" s="312"/>
      <c r="BQ63" s="312"/>
      <c r="BR63" s="312"/>
      <c r="BS63" s="312"/>
      <c r="BT63" s="312"/>
      <c r="BU63" s="312"/>
      <c r="BV63" s="312"/>
      <c r="BW63" s="312"/>
      <c r="BX63" s="312"/>
      <c r="BY63" s="312"/>
      <c r="BZ63" s="312"/>
      <c r="CA63" s="312"/>
      <c r="CB63" s="312"/>
      <c r="CC63" s="312"/>
      <c r="CD63" s="312"/>
      <c r="CE63" s="312"/>
      <c r="CF63" s="312"/>
      <c r="CG63" s="312"/>
      <c r="CH63" s="312"/>
      <c r="CI63" s="312"/>
      <c r="CJ63" s="312"/>
      <c r="CK63" s="312"/>
      <c r="CL63" s="312"/>
      <c r="CM63" s="312"/>
      <c r="CN63" s="312"/>
      <c r="CO63" s="312"/>
      <c r="CP63" s="312"/>
      <c r="CQ63" s="312"/>
      <c r="CR63" s="312"/>
    </row>
    <row r="64" spans="1:96" s="300" customFormat="1" ht="15.75" customHeight="1">
      <c r="A64" s="313"/>
      <c r="B64" s="305" t="s">
        <v>76</v>
      </c>
      <c r="C64" s="311">
        <v>1695</v>
      </c>
      <c r="D64" s="311">
        <v>1770</v>
      </c>
      <c r="E64" s="306">
        <f t="shared" si="6"/>
        <v>4.424778761061947</v>
      </c>
      <c r="F64" s="310">
        <v>6141</v>
      </c>
      <c r="G64" s="311">
        <v>6390</v>
      </c>
      <c r="H64" s="306">
        <f t="shared" si="7"/>
        <v>4.0547142159257445</v>
      </c>
      <c r="I64" s="310"/>
      <c r="J64" s="311"/>
      <c r="K64" s="306"/>
      <c r="L64" s="310"/>
      <c r="M64" s="311"/>
      <c r="N64" s="306"/>
      <c r="O64" s="310"/>
      <c r="P64" s="311"/>
      <c r="Q64" s="306"/>
      <c r="R64" s="310"/>
      <c r="S64" s="311"/>
      <c r="T64" s="306"/>
      <c r="U64" s="310"/>
      <c r="V64" s="311"/>
      <c r="W64" s="306"/>
      <c r="X64" s="310"/>
      <c r="Y64" s="311"/>
      <c r="Z64" s="306"/>
      <c r="AA64" s="310"/>
      <c r="AB64" s="311"/>
      <c r="AC64" s="306"/>
      <c r="AD64" s="310"/>
      <c r="AE64" s="311"/>
      <c r="AF64" s="306"/>
      <c r="AG64" s="310"/>
      <c r="AH64" s="311"/>
      <c r="AI64" s="306"/>
      <c r="AJ64" s="310"/>
      <c r="AK64" s="311"/>
      <c r="AL64" s="306"/>
      <c r="AM64" s="310"/>
      <c r="AN64" s="311"/>
      <c r="AO64" s="306"/>
      <c r="AP64" s="310"/>
      <c r="AQ64" s="311"/>
      <c r="AR64" s="306"/>
      <c r="AS64" s="310"/>
      <c r="AT64" s="311"/>
      <c r="AU64" s="306"/>
      <c r="AV64" s="310"/>
      <c r="AW64" s="311"/>
      <c r="AX64" s="306"/>
      <c r="AY64" s="310"/>
      <c r="AZ64" s="311"/>
      <c r="BA64" s="306"/>
      <c r="BB64" s="310"/>
      <c r="BC64" s="311"/>
      <c r="BD64" s="306"/>
      <c r="BE64" s="312"/>
      <c r="BF64" s="312"/>
      <c r="BG64" s="312"/>
      <c r="BH64" s="312"/>
      <c r="BI64" s="312"/>
      <c r="BJ64" s="312"/>
      <c r="BK64" s="312"/>
      <c r="BL64" s="312"/>
      <c r="BM64" s="312"/>
      <c r="BN64" s="312"/>
      <c r="BO64" s="312"/>
      <c r="BP64" s="312"/>
      <c r="BQ64" s="312"/>
      <c r="BR64" s="312"/>
      <c r="BS64" s="312"/>
      <c r="BT64" s="312"/>
      <c r="BU64" s="312"/>
      <c r="BV64" s="312"/>
      <c r="BW64" s="312"/>
      <c r="BX64" s="312"/>
      <c r="BY64" s="312"/>
      <c r="BZ64" s="312"/>
      <c r="CA64" s="312"/>
      <c r="CB64" s="312"/>
      <c r="CC64" s="312"/>
      <c r="CD64" s="312"/>
      <c r="CE64" s="312"/>
      <c r="CF64" s="312"/>
      <c r="CG64" s="312"/>
      <c r="CH64" s="312"/>
      <c r="CI64" s="312"/>
      <c r="CJ64" s="312"/>
      <c r="CK64" s="312"/>
      <c r="CL64" s="312"/>
      <c r="CM64" s="312"/>
      <c r="CN64" s="312"/>
      <c r="CO64" s="312"/>
      <c r="CP64" s="312"/>
      <c r="CQ64" s="312"/>
      <c r="CR64" s="312"/>
    </row>
    <row r="65" spans="1:96" s="300" customFormat="1" ht="15.75" customHeight="1">
      <c r="A65" s="313"/>
      <c r="B65" s="305" t="s">
        <v>473</v>
      </c>
      <c r="C65" s="311">
        <v>1695</v>
      </c>
      <c r="D65" s="311">
        <v>1772.5</v>
      </c>
      <c r="E65" s="306">
        <f t="shared" si="6"/>
        <v>4.572271386430678</v>
      </c>
      <c r="F65" s="310">
        <v>6305</v>
      </c>
      <c r="G65" s="311">
        <v>6630</v>
      </c>
      <c r="H65" s="306">
        <f t="shared" si="7"/>
        <v>5.154639175257731</v>
      </c>
      <c r="I65" s="310"/>
      <c r="J65" s="311"/>
      <c r="K65" s="306"/>
      <c r="L65" s="310"/>
      <c r="M65" s="311"/>
      <c r="N65" s="306"/>
      <c r="O65" s="310"/>
      <c r="P65" s="311"/>
      <c r="Q65" s="306"/>
      <c r="R65" s="310"/>
      <c r="S65" s="311"/>
      <c r="T65" s="306"/>
      <c r="U65" s="310"/>
      <c r="V65" s="311"/>
      <c r="W65" s="306"/>
      <c r="X65" s="310"/>
      <c r="Y65" s="311"/>
      <c r="Z65" s="306"/>
      <c r="AA65" s="310"/>
      <c r="AB65" s="311"/>
      <c r="AC65" s="306"/>
      <c r="AD65" s="310"/>
      <c r="AE65" s="311"/>
      <c r="AF65" s="306"/>
      <c r="AG65" s="310"/>
      <c r="AH65" s="311"/>
      <c r="AI65" s="306"/>
      <c r="AJ65" s="310"/>
      <c r="AK65" s="311"/>
      <c r="AL65" s="306"/>
      <c r="AM65" s="310"/>
      <c r="AN65" s="311"/>
      <c r="AO65" s="306"/>
      <c r="AP65" s="310"/>
      <c r="AQ65" s="311"/>
      <c r="AR65" s="306"/>
      <c r="AS65" s="310"/>
      <c r="AT65" s="311"/>
      <c r="AU65" s="306"/>
      <c r="AV65" s="310"/>
      <c r="AW65" s="311"/>
      <c r="AX65" s="306"/>
      <c r="AY65" s="310"/>
      <c r="AZ65" s="311"/>
      <c r="BA65" s="306"/>
      <c r="BB65" s="310"/>
      <c r="BC65" s="311"/>
      <c r="BD65" s="306"/>
      <c r="BE65" s="312"/>
      <c r="BF65" s="312"/>
      <c r="BG65" s="312"/>
      <c r="BH65" s="312"/>
      <c r="BI65" s="312"/>
      <c r="BJ65" s="312"/>
      <c r="BK65" s="312"/>
      <c r="BL65" s="312"/>
      <c r="BM65" s="312"/>
      <c r="BN65" s="312"/>
      <c r="BO65" s="312"/>
      <c r="BP65" s="312"/>
      <c r="BQ65" s="312"/>
      <c r="BR65" s="312"/>
      <c r="BS65" s="312"/>
      <c r="BT65" s="312"/>
      <c r="BU65" s="312"/>
      <c r="BV65" s="312"/>
      <c r="BW65" s="312"/>
      <c r="BX65" s="312"/>
      <c r="BY65" s="312"/>
      <c r="BZ65" s="312"/>
      <c r="CA65" s="312"/>
      <c r="CB65" s="312"/>
      <c r="CC65" s="312"/>
      <c r="CD65" s="312"/>
      <c r="CE65" s="312"/>
      <c r="CF65" s="312"/>
      <c r="CG65" s="312"/>
      <c r="CH65" s="312"/>
      <c r="CI65" s="312"/>
      <c r="CJ65" s="312"/>
      <c r="CK65" s="312"/>
      <c r="CL65" s="312"/>
      <c r="CM65" s="312"/>
      <c r="CN65" s="312"/>
      <c r="CO65" s="312"/>
      <c r="CP65" s="312"/>
      <c r="CQ65" s="312"/>
      <c r="CR65" s="312"/>
    </row>
    <row r="66" spans="1:96" s="300" customFormat="1" ht="15.75" customHeight="1">
      <c r="A66" s="313"/>
      <c r="B66" s="305" t="s">
        <v>77</v>
      </c>
      <c r="C66" s="311"/>
      <c r="D66" s="311"/>
      <c r="E66" s="306">
        <f aca="true" t="shared" si="10" ref="E66:E116">IF(C66&gt;0,(((D66-C66)/C66)*100),0)</f>
        <v>0</v>
      </c>
      <c r="F66" s="310"/>
      <c r="G66" s="311"/>
      <c r="H66" s="306">
        <f aca="true" t="shared" si="11" ref="H66:H116">IF(F66&gt;0,(((G66-F66)/F66)*100),0)</f>
        <v>0</v>
      </c>
      <c r="I66" s="310"/>
      <c r="J66" s="311"/>
      <c r="K66" s="306"/>
      <c r="L66" s="310"/>
      <c r="M66" s="311"/>
      <c r="N66" s="306"/>
      <c r="O66" s="310"/>
      <c r="P66" s="311"/>
      <c r="Q66" s="306"/>
      <c r="R66" s="310"/>
      <c r="S66" s="311"/>
      <c r="T66" s="306"/>
      <c r="U66" s="310"/>
      <c r="V66" s="311"/>
      <c r="W66" s="306"/>
      <c r="X66" s="310"/>
      <c r="Y66" s="311"/>
      <c r="Z66" s="306"/>
      <c r="AA66" s="310"/>
      <c r="AB66" s="311"/>
      <c r="AC66" s="306"/>
      <c r="AD66" s="310"/>
      <c r="AE66" s="311"/>
      <c r="AF66" s="306"/>
      <c r="AG66" s="310"/>
      <c r="AH66" s="311"/>
      <c r="AI66" s="306"/>
      <c r="AJ66" s="310"/>
      <c r="AK66" s="311"/>
      <c r="AL66" s="306"/>
      <c r="AM66" s="310"/>
      <c r="AN66" s="311"/>
      <c r="AO66" s="306"/>
      <c r="AP66" s="310"/>
      <c r="AQ66" s="311"/>
      <c r="AR66" s="306"/>
      <c r="AS66" s="310"/>
      <c r="AT66" s="311"/>
      <c r="AU66" s="306"/>
      <c r="AV66" s="310"/>
      <c r="AW66" s="311"/>
      <c r="AX66" s="306"/>
      <c r="AY66" s="310"/>
      <c r="AZ66" s="311"/>
      <c r="BA66" s="306"/>
      <c r="BB66" s="310"/>
      <c r="BC66" s="311"/>
      <c r="BD66" s="306"/>
      <c r="BE66" s="312"/>
      <c r="BF66" s="312"/>
      <c r="BG66" s="312"/>
      <c r="BH66" s="312"/>
      <c r="BI66" s="312"/>
      <c r="BJ66" s="312"/>
      <c r="BK66" s="312"/>
      <c r="BL66" s="312"/>
      <c r="BM66" s="312"/>
      <c r="BN66" s="312"/>
      <c r="BO66" s="312"/>
      <c r="BP66" s="312"/>
      <c r="BQ66" s="312"/>
      <c r="BR66" s="312"/>
      <c r="BS66" s="312"/>
      <c r="BT66" s="312"/>
      <c r="BU66" s="312"/>
      <c r="BV66" s="312"/>
      <c r="BW66" s="312"/>
      <c r="BX66" s="312"/>
      <c r="BY66" s="312"/>
      <c r="BZ66" s="312"/>
      <c r="CA66" s="312"/>
      <c r="CB66" s="312"/>
      <c r="CC66" s="312"/>
      <c r="CD66" s="312"/>
      <c r="CE66" s="312"/>
      <c r="CF66" s="312"/>
      <c r="CG66" s="312"/>
      <c r="CH66" s="312"/>
      <c r="CI66" s="312"/>
      <c r="CJ66" s="312"/>
      <c r="CK66" s="312"/>
      <c r="CL66" s="312"/>
      <c r="CM66" s="312"/>
      <c r="CN66" s="312"/>
      <c r="CO66" s="312"/>
      <c r="CP66" s="312"/>
      <c r="CQ66" s="312"/>
      <c r="CR66" s="312"/>
    </row>
    <row r="67" spans="1:96" s="300" customFormat="1" ht="15.75" customHeight="1">
      <c r="A67" s="313"/>
      <c r="B67" s="305" t="s">
        <v>63</v>
      </c>
      <c r="C67" s="311"/>
      <c r="D67" s="311"/>
      <c r="E67" s="306">
        <f t="shared" si="10"/>
        <v>0</v>
      </c>
      <c r="F67" s="310"/>
      <c r="G67" s="311"/>
      <c r="H67" s="306">
        <f t="shared" si="11"/>
        <v>0</v>
      </c>
      <c r="I67" s="310"/>
      <c r="J67" s="311"/>
      <c r="K67" s="306"/>
      <c r="L67" s="310"/>
      <c r="M67" s="311"/>
      <c r="N67" s="306"/>
      <c r="O67" s="310"/>
      <c r="P67" s="311"/>
      <c r="Q67" s="306"/>
      <c r="R67" s="310"/>
      <c r="S67" s="311"/>
      <c r="T67" s="306"/>
      <c r="U67" s="310"/>
      <c r="V67" s="311"/>
      <c r="W67" s="306"/>
      <c r="X67" s="310"/>
      <c r="Y67" s="311"/>
      <c r="Z67" s="306"/>
      <c r="AA67" s="310"/>
      <c r="AB67" s="311"/>
      <c r="AC67" s="306"/>
      <c r="AD67" s="310"/>
      <c r="AE67" s="311"/>
      <c r="AF67" s="306"/>
      <c r="AG67" s="310"/>
      <c r="AH67" s="311"/>
      <c r="AI67" s="306"/>
      <c r="AJ67" s="310"/>
      <c r="AK67" s="311"/>
      <c r="AL67" s="306"/>
      <c r="AM67" s="310"/>
      <c r="AN67" s="311"/>
      <c r="AO67" s="306"/>
      <c r="AP67" s="310"/>
      <c r="AQ67" s="311"/>
      <c r="AR67" s="306"/>
      <c r="AS67" s="310"/>
      <c r="AT67" s="311"/>
      <c r="AU67" s="306"/>
      <c r="AV67" s="310"/>
      <c r="AW67" s="311"/>
      <c r="AX67" s="306"/>
      <c r="AY67" s="310"/>
      <c r="AZ67" s="311"/>
      <c r="BA67" s="306"/>
      <c r="BB67" s="310"/>
      <c r="BC67" s="311"/>
      <c r="BD67" s="306"/>
      <c r="BE67" s="312"/>
      <c r="BF67" s="312"/>
      <c r="BG67" s="312"/>
      <c r="BH67" s="312"/>
      <c r="BI67" s="312"/>
      <c r="BJ67" s="312"/>
      <c r="BK67" s="312"/>
      <c r="BL67" s="312"/>
      <c r="BM67" s="312"/>
      <c r="BN67" s="312"/>
      <c r="BO67" s="312"/>
      <c r="BP67" s="312"/>
      <c r="BQ67" s="312"/>
      <c r="BR67" s="312"/>
      <c r="BS67" s="312"/>
      <c r="BT67" s="312"/>
      <c r="BU67" s="312"/>
      <c r="BV67" s="312"/>
      <c r="BW67" s="312"/>
      <c r="BX67" s="312"/>
      <c r="BY67" s="312"/>
      <c r="BZ67" s="312"/>
      <c r="CA67" s="312"/>
      <c r="CB67" s="312"/>
      <c r="CC67" s="312"/>
      <c r="CD67" s="312"/>
      <c r="CE67" s="312"/>
      <c r="CF67" s="312"/>
      <c r="CG67" s="312"/>
      <c r="CH67" s="312"/>
      <c r="CI67" s="312"/>
      <c r="CJ67" s="312"/>
      <c r="CK67" s="312"/>
      <c r="CL67" s="312"/>
      <c r="CM67" s="312"/>
      <c r="CN67" s="312"/>
      <c r="CO67" s="312"/>
      <c r="CP67" s="312"/>
      <c r="CQ67" s="312"/>
      <c r="CR67" s="312"/>
    </row>
    <row r="68" spans="1:96" s="300" customFormat="1" ht="15.75" customHeight="1">
      <c r="A68" s="313"/>
      <c r="B68" s="305" t="s">
        <v>64</v>
      </c>
      <c r="C68" s="311"/>
      <c r="D68" s="311"/>
      <c r="E68" s="306">
        <f t="shared" si="10"/>
        <v>0</v>
      </c>
      <c r="F68" s="310"/>
      <c r="G68" s="311"/>
      <c r="H68" s="306">
        <f t="shared" si="11"/>
        <v>0</v>
      </c>
      <c r="I68" s="310"/>
      <c r="J68" s="311"/>
      <c r="K68" s="306"/>
      <c r="L68" s="310"/>
      <c r="M68" s="311"/>
      <c r="N68" s="306"/>
      <c r="O68" s="310"/>
      <c r="P68" s="311"/>
      <c r="Q68" s="306"/>
      <c r="R68" s="310"/>
      <c r="S68" s="311"/>
      <c r="T68" s="306"/>
      <c r="U68" s="310"/>
      <c r="V68" s="311"/>
      <c r="W68" s="306"/>
      <c r="X68" s="310"/>
      <c r="Y68" s="311"/>
      <c r="Z68" s="306"/>
      <c r="AA68" s="310"/>
      <c r="AB68" s="311"/>
      <c r="AC68" s="306"/>
      <c r="AD68" s="310"/>
      <c r="AE68" s="311"/>
      <c r="AF68" s="306"/>
      <c r="AG68" s="310"/>
      <c r="AH68" s="311"/>
      <c r="AI68" s="306"/>
      <c r="AJ68" s="310"/>
      <c r="AK68" s="311"/>
      <c r="AL68" s="306"/>
      <c r="AM68" s="310"/>
      <c r="AN68" s="311"/>
      <c r="AO68" s="306"/>
      <c r="AP68" s="310"/>
      <c r="AQ68" s="311"/>
      <c r="AR68" s="306"/>
      <c r="AS68" s="310"/>
      <c r="AT68" s="311"/>
      <c r="AU68" s="306"/>
      <c r="AV68" s="310"/>
      <c r="AW68" s="311"/>
      <c r="AX68" s="306"/>
      <c r="AY68" s="310"/>
      <c r="AZ68" s="311"/>
      <c r="BA68" s="306"/>
      <c r="BB68" s="310"/>
      <c r="BC68" s="311"/>
      <c r="BD68" s="306"/>
      <c r="BE68" s="312"/>
      <c r="BF68" s="312"/>
      <c r="BG68" s="312"/>
      <c r="BH68" s="312"/>
      <c r="BI68" s="312"/>
      <c r="BJ68" s="312"/>
      <c r="BK68" s="312"/>
      <c r="BL68" s="312"/>
      <c r="BM68" s="312"/>
      <c r="BN68" s="312"/>
      <c r="BO68" s="312"/>
      <c r="BP68" s="312"/>
      <c r="BQ68" s="312"/>
      <c r="BR68" s="312"/>
      <c r="BS68" s="312"/>
      <c r="BT68" s="312"/>
      <c r="BU68" s="312"/>
      <c r="BV68" s="312"/>
      <c r="BW68" s="312"/>
      <c r="BX68" s="312"/>
      <c r="BY68" s="312"/>
      <c r="BZ68" s="312"/>
      <c r="CA68" s="312"/>
      <c r="CB68" s="312"/>
      <c r="CC68" s="312"/>
      <c r="CD68" s="312"/>
      <c r="CE68" s="312"/>
      <c r="CF68" s="312"/>
      <c r="CG68" s="312"/>
      <c r="CH68" s="312"/>
      <c r="CI68" s="312"/>
      <c r="CJ68" s="312"/>
      <c r="CK68" s="312"/>
      <c r="CL68" s="312"/>
      <c r="CM68" s="312"/>
      <c r="CN68" s="312"/>
      <c r="CO68" s="312"/>
      <c r="CP68" s="312"/>
      <c r="CQ68" s="312"/>
      <c r="CR68" s="312"/>
    </row>
    <row r="69" spans="1:96" s="300" customFormat="1" ht="15.75" customHeight="1">
      <c r="A69" s="313"/>
      <c r="B69" s="305" t="s">
        <v>970</v>
      </c>
      <c r="C69" s="311"/>
      <c r="D69" s="311"/>
      <c r="E69" s="306">
        <f t="shared" si="10"/>
        <v>0</v>
      </c>
      <c r="F69" s="310"/>
      <c r="G69" s="311"/>
      <c r="H69" s="306">
        <f t="shared" si="11"/>
        <v>0</v>
      </c>
      <c r="I69" s="310"/>
      <c r="J69" s="311"/>
      <c r="K69" s="306"/>
      <c r="L69" s="310"/>
      <c r="M69" s="311"/>
      <c r="N69" s="306"/>
      <c r="O69" s="310"/>
      <c r="P69" s="311"/>
      <c r="Q69" s="306"/>
      <c r="R69" s="310"/>
      <c r="S69" s="311"/>
      <c r="T69" s="306"/>
      <c r="U69" s="310"/>
      <c r="V69" s="311"/>
      <c r="W69" s="306"/>
      <c r="X69" s="310"/>
      <c r="Y69" s="311"/>
      <c r="Z69" s="306"/>
      <c r="AA69" s="310"/>
      <c r="AB69" s="311"/>
      <c r="AC69" s="306"/>
      <c r="AD69" s="310"/>
      <c r="AE69" s="311"/>
      <c r="AF69" s="306"/>
      <c r="AG69" s="310"/>
      <c r="AH69" s="311"/>
      <c r="AI69" s="306"/>
      <c r="AJ69" s="310"/>
      <c r="AK69" s="311"/>
      <c r="AL69" s="306"/>
      <c r="AM69" s="310"/>
      <c r="AN69" s="311"/>
      <c r="AO69" s="306"/>
      <c r="AP69" s="310"/>
      <c r="AQ69" s="311"/>
      <c r="AR69" s="306"/>
      <c r="AS69" s="310"/>
      <c r="AT69" s="311"/>
      <c r="AU69" s="306"/>
      <c r="AV69" s="310"/>
      <c r="AW69" s="311"/>
      <c r="AX69" s="306"/>
      <c r="AY69" s="310"/>
      <c r="AZ69" s="311"/>
      <c r="BA69" s="306"/>
      <c r="BB69" s="310"/>
      <c r="BC69" s="311"/>
      <c r="BD69" s="306"/>
      <c r="BE69" s="312"/>
      <c r="BF69" s="312"/>
      <c r="BG69" s="312"/>
      <c r="BH69" s="312"/>
      <c r="BI69" s="312"/>
      <c r="BJ69" s="312"/>
      <c r="BK69" s="312"/>
      <c r="BL69" s="312"/>
      <c r="BM69" s="312"/>
      <c r="BN69" s="312"/>
      <c r="BO69" s="312"/>
      <c r="BP69" s="312"/>
      <c r="BQ69" s="312"/>
      <c r="BR69" s="312"/>
      <c r="BS69" s="312"/>
      <c r="BT69" s="312"/>
      <c r="BU69" s="312"/>
      <c r="BV69" s="312"/>
      <c r="BW69" s="312"/>
      <c r="BX69" s="312"/>
      <c r="BY69" s="312"/>
      <c r="BZ69" s="312"/>
      <c r="CA69" s="312"/>
      <c r="CB69" s="312"/>
      <c r="CC69" s="312"/>
      <c r="CD69" s="312"/>
      <c r="CE69" s="312"/>
      <c r="CF69" s="312"/>
      <c r="CG69" s="312"/>
      <c r="CH69" s="312"/>
      <c r="CI69" s="312"/>
      <c r="CJ69" s="312"/>
      <c r="CK69" s="312"/>
      <c r="CL69" s="312"/>
      <c r="CM69" s="312"/>
      <c r="CN69" s="312"/>
      <c r="CO69" s="312"/>
      <c r="CP69" s="312"/>
      <c r="CQ69" s="312"/>
      <c r="CR69" s="312"/>
    </row>
    <row r="70" spans="1:96" s="321" customFormat="1" ht="15.75" customHeight="1">
      <c r="A70" s="314"/>
      <c r="B70" s="315"/>
      <c r="C70" s="317"/>
      <c r="D70" s="317"/>
      <c r="E70" s="318">
        <f t="shared" si="10"/>
        <v>0</v>
      </c>
      <c r="F70" s="316"/>
      <c r="G70" s="317"/>
      <c r="H70" s="318">
        <f t="shared" si="11"/>
        <v>0</v>
      </c>
      <c r="I70" s="316"/>
      <c r="J70" s="317"/>
      <c r="K70" s="318"/>
      <c r="L70" s="316"/>
      <c r="M70" s="317"/>
      <c r="N70" s="318"/>
      <c r="O70" s="316">
        <v>5453.04</v>
      </c>
      <c r="P70" s="317">
        <v>6073.8</v>
      </c>
      <c r="Q70" s="318">
        <f>IF(O70&gt;0,(((P70-O70)/O70)*100),0)</f>
        <v>11.383741912767928</v>
      </c>
      <c r="R70" s="316">
        <v>19684.08</v>
      </c>
      <c r="S70" s="317">
        <v>22189.28</v>
      </c>
      <c r="T70" s="318">
        <f>IF(R70&gt;0,(((S70-R70)/R70)*100),0)</f>
        <v>12.727036264839386</v>
      </c>
      <c r="U70" s="316">
        <v>15665.64</v>
      </c>
      <c r="V70" s="317">
        <v>16919.41</v>
      </c>
      <c r="W70" s="318">
        <f>IF(U70&gt;0,(((V70-U70)/U70)*100),0)</f>
        <v>8.003311706384165</v>
      </c>
      <c r="X70" s="316">
        <v>44375.85</v>
      </c>
      <c r="Y70" s="317">
        <v>49825.31</v>
      </c>
      <c r="Z70" s="318">
        <f>IF(X70&gt;0,(((Y70-X70)/X70)*100),0)</f>
        <v>12.280238012342297</v>
      </c>
      <c r="AA70" s="316">
        <v>12714.52</v>
      </c>
      <c r="AB70" s="317">
        <v>14494.22</v>
      </c>
      <c r="AC70" s="318">
        <f>IF(AA70&gt;0,(((AB70-AA70)/AA70)*100),0)</f>
        <v>13.997382520142315</v>
      </c>
      <c r="AD70" s="316">
        <v>37640.64</v>
      </c>
      <c r="AE70" s="317">
        <v>42033.29</v>
      </c>
      <c r="AF70" s="318">
        <f>IF(AD70&gt;0,(((AE70-AD70)/AD70)*100),0)</f>
        <v>11.669966291752749</v>
      </c>
      <c r="AG70" s="316">
        <v>4869.08</v>
      </c>
      <c r="AH70" s="317">
        <v>5400.68</v>
      </c>
      <c r="AI70" s="318">
        <f>IF(AG70&gt;0,(((AH70-AG70)/AG70)*100),0)</f>
        <v>10.91787360240539</v>
      </c>
      <c r="AJ70" s="316">
        <v>18114.68</v>
      </c>
      <c r="AK70" s="317">
        <v>20731.04</v>
      </c>
      <c r="AL70" s="318">
        <f>IF(AJ70&gt;0,(((AK70-AJ70)/AJ70)*100),0)</f>
        <v>14.443313378983236</v>
      </c>
      <c r="AM70" s="316"/>
      <c r="AN70" s="317"/>
      <c r="AO70" s="318"/>
      <c r="AP70" s="316"/>
      <c r="AQ70" s="317"/>
      <c r="AR70" s="318">
        <f>IF(AP70&gt;0,(((AQ70-AP70)/AP70)*100),0)</f>
        <v>0</v>
      </c>
      <c r="AS70" s="316"/>
      <c r="AT70" s="317"/>
      <c r="AU70" s="318"/>
      <c r="AV70" s="316"/>
      <c r="AW70" s="317"/>
      <c r="AX70" s="318"/>
      <c r="AY70" s="316">
        <v>11724.06</v>
      </c>
      <c r="AZ70" s="317">
        <v>12205.46</v>
      </c>
      <c r="BA70" s="318">
        <f>IF(AY70&gt;0,(((AZ70-AY70)/AY70)*100),0)</f>
        <v>4.106086116925362</v>
      </c>
      <c r="BB70" s="316">
        <v>31785.06</v>
      </c>
      <c r="BC70" s="317">
        <v>34774.08</v>
      </c>
      <c r="BD70" s="318">
        <f>IF(BB70&gt;0,(((BC70-BB70)/BB70)*100),0)</f>
        <v>9.403851998391698</v>
      </c>
      <c r="BE70" s="320"/>
      <c r="BF70" s="320"/>
      <c r="BG70" s="320"/>
      <c r="BH70" s="320"/>
      <c r="BI70" s="320"/>
      <c r="BJ70" s="320"/>
      <c r="BK70" s="320"/>
      <c r="BL70" s="320"/>
      <c r="BM70" s="320"/>
      <c r="BN70" s="320"/>
      <c r="BO70" s="320"/>
      <c r="BP70" s="320"/>
      <c r="BQ70" s="320"/>
      <c r="BR70" s="320"/>
      <c r="BS70" s="320"/>
      <c r="BT70" s="320"/>
      <c r="BU70" s="320"/>
      <c r="BV70" s="320"/>
      <c r="BW70" s="320"/>
      <c r="BX70" s="320"/>
      <c r="BY70" s="320"/>
      <c r="BZ70" s="320"/>
      <c r="CA70" s="320"/>
      <c r="CB70" s="320"/>
      <c r="CC70" s="320"/>
      <c r="CD70" s="320"/>
      <c r="CE70" s="320"/>
      <c r="CF70" s="320"/>
      <c r="CG70" s="320"/>
      <c r="CH70" s="320"/>
      <c r="CI70" s="320"/>
      <c r="CJ70" s="320"/>
      <c r="CK70" s="320"/>
      <c r="CL70" s="320"/>
      <c r="CM70" s="320"/>
      <c r="CN70" s="320"/>
      <c r="CO70" s="320"/>
      <c r="CP70" s="320"/>
      <c r="CQ70" s="320"/>
      <c r="CR70" s="320"/>
    </row>
    <row r="71" spans="1:96" s="300" customFormat="1" ht="15.75" customHeight="1" thickBot="1">
      <c r="A71" s="304" t="s">
        <v>399</v>
      </c>
      <c r="B71" s="305" t="s">
        <v>665</v>
      </c>
      <c r="C71" s="311">
        <v>3999</v>
      </c>
      <c r="D71" s="311">
        <v>4213</v>
      </c>
      <c r="E71" s="306">
        <f t="shared" si="10"/>
        <v>5.351337834458614</v>
      </c>
      <c r="F71" s="310">
        <v>14199</v>
      </c>
      <c r="G71" s="311">
        <v>14924</v>
      </c>
      <c r="H71" s="306">
        <f t="shared" si="11"/>
        <v>5.10599337981548</v>
      </c>
      <c r="I71" s="310">
        <v>4641</v>
      </c>
      <c r="J71" s="311">
        <v>4889</v>
      </c>
      <c r="K71" s="322">
        <f>IF(I71&gt;0,(((J71-I71)/I71)*100),0)</f>
        <v>5.343675931911226</v>
      </c>
      <c r="L71" s="333">
        <v>16766</v>
      </c>
      <c r="M71" s="334">
        <v>17619</v>
      </c>
      <c r="N71" s="335">
        <f>IF(L71&gt;0,(((M71-L71)/L71)*100),0)</f>
        <v>5.08767744244304</v>
      </c>
      <c r="O71" s="311"/>
      <c r="P71" s="311"/>
      <c r="Q71" s="306"/>
      <c r="R71" s="311"/>
      <c r="S71" s="311"/>
      <c r="T71" s="306"/>
      <c r="U71" s="311"/>
      <c r="V71" s="311"/>
      <c r="W71" s="306"/>
      <c r="X71" s="311"/>
      <c r="Y71" s="311"/>
      <c r="Z71" s="306"/>
      <c r="AA71" s="311"/>
      <c r="AB71" s="311"/>
      <c r="AC71" s="306"/>
      <c r="AD71" s="311"/>
      <c r="AE71" s="311"/>
      <c r="AF71" s="306"/>
      <c r="AG71" s="311"/>
      <c r="AH71" s="311"/>
      <c r="AI71" s="306"/>
      <c r="AJ71" s="311"/>
      <c r="AK71" s="311"/>
      <c r="AL71" s="306"/>
      <c r="AM71" s="311"/>
      <c r="AN71" s="311"/>
      <c r="AO71" s="306"/>
      <c r="AP71" s="311"/>
      <c r="AQ71" s="311"/>
      <c r="AR71" s="306"/>
      <c r="AS71" s="311"/>
      <c r="AT71" s="311"/>
      <c r="AU71" s="306"/>
      <c r="AV71" s="311"/>
      <c r="AW71" s="311"/>
      <c r="AX71" s="306"/>
      <c r="AY71" s="311"/>
      <c r="AZ71" s="311"/>
      <c r="BA71" s="306"/>
      <c r="BB71" s="311"/>
      <c r="BC71" s="311"/>
      <c r="BD71" s="306"/>
      <c r="BE71" s="312"/>
      <c r="BF71" s="312"/>
      <c r="BG71" s="312"/>
      <c r="BH71" s="312"/>
      <c r="BI71" s="312"/>
      <c r="BJ71" s="312"/>
      <c r="BK71" s="312"/>
      <c r="BL71" s="312"/>
      <c r="BM71" s="312"/>
      <c r="BN71" s="312"/>
      <c r="BO71" s="312"/>
      <c r="BP71" s="312"/>
      <c r="BQ71" s="312"/>
      <c r="BR71" s="312"/>
      <c r="BS71" s="312"/>
      <c r="BT71" s="312"/>
      <c r="BU71" s="312"/>
      <c r="BV71" s="312"/>
      <c r="BW71" s="312"/>
      <c r="BX71" s="312"/>
      <c r="BY71" s="312"/>
      <c r="BZ71" s="312"/>
      <c r="CA71" s="312"/>
      <c r="CB71" s="312"/>
      <c r="CC71" s="312"/>
      <c r="CD71" s="312"/>
      <c r="CE71" s="312"/>
      <c r="CF71" s="312"/>
      <c r="CG71" s="312"/>
      <c r="CH71" s="312"/>
      <c r="CI71" s="312"/>
      <c r="CJ71" s="312"/>
      <c r="CK71" s="312"/>
      <c r="CL71" s="312"/>
      <c r="CM71" s="312"/>
      <c r="CN71" s="312"/>
      <c r="CO71" s="312"/>
      <c r="CP71" s="312"/>
      <c r="CQ71" s="312"/>
      <c r="CR71" s="312"/>
    </row>
    <row r="72" spans="1:96" s="300" customFormat="1" ht="15.75" customHeight="1" thickBot="1">
      <c r="A72" s="313"/>
      <c r="B72" s="305" t="s">
        <v>666</v>
      </c>
      <c r="C72" s="311">
        <v>4076</v>
      </c>
      <c r="D72" s="311">
        <v>4278</v>
      </c>
      <c r="E72" s="322">
        <f t="shared" si="10"/>
        <v>4.955839057899902</v>
      </c>
      <c r="F72" s="307">
        <v>16002</v>
      </c>
      <c r="G72" s="308">
        <v>17558</v>
      </c>
      <c r="H72" s="309">
        <f t="shared" si="11"/>
        <v>9.723784526934134</v>
      </c>
      <c r="I72" s="311">
        <v>4718</v>
      </c>
      <c r="J72" s="311">
        <v>4954</v>
      </c>
      <c r="K72" s="322">
        <f>IF(I72&gt;0,(((J72-I72)/I72)*100),0)</f>
        <v>5.002119542178889</v>
      </c>
      <c r="L72" s="307">
        <v>16268</v>
      </c>
      <c r="M72" s="308">
        <v>17850</v>
      </c>
      <c r="N72" s="309">
        <f>IF(L72&gt;0,(((M72-L72)/L72)*100),0)</f>
        <v>9.72461273666093</v>
      </c>
      <c r="O72" s="311"/>
      <c r="P72" s="311"/>
      <c r="Q72" s="306"/>
      <c r="R72" s="310"/>
      <c r="S72" s="311"/>
      <c r="T72" s="306"/>
      <c r="U72" s="310"/>
      <c r="V72" s="311"/>
      <c r="W72" s="306"/>
      <c r="X72" s="310"/>
      <c r="Y72" s="311"/>
      <c r="Z72" s="306"/>
      <c r="AA72" s="310"/>
      <c r="AB72" s="311"/>
      <c r="AC72" s="306"/>
      <c r="AD72" s="310"/>
      <c r="AE72" s="311"/>
      <c r="AF72" s="306"/>
      <c r="AG72" s="310"/>
      <c r="AH72" s="311"/>
      <c r="AI72" s="306"/>
      <c r="AJ72" s="310"/>
      <c r="AK72" s="311"/>
      <c r="AL72" s="306"/>
      <c r="AM72" s="310"/>
      <c r="AN72" s="311"/>
      <c r="AO72" s="306"/>
      <c r="AP72" s="310"/>
      <c r="AQ72" s="311"/>
      <c r="AR72" s="306"/>
      <c r="AS72" s="310"/>
      <c r="AT72" s="311"/>
      <c r="AU72" s="306"/>
      <c r="AV72" s="310"/>
      <c r="AW72" s="311"/>
      <c r="AX72" s="306"/>
      <c r="AY72" s="310"/>
      <c r="AZ72" s="311"/>
      <c r="BA72" s="306"/>
      <c r="BB72" s="310"/>
      <c r="BC72" s="311"/>
      <c r="BD72" s="306"/>
      <c r="BE72" s="312"/>
      <c r="BF72" s="312"/>
      <c r="BG72" s="312"/>
      <c r="BH72" s="312"/>
      <c r="BI72" s="312"/>
      <c r="BJ72" s="312"/>
      <c r="BK72" s="312"/>
      <c r="BL72" s="312"/>
      <c r="BM72" s="312"/>
      <c r="BN72" s="312"/>
      <c r="BO72" s="312"/>
      <c r="BP72" s="312"/>
      <c r="BQ72" s="312"/>
      <c r="BR72" s="312"/>
      <c r="BS72" s="312"/>
      <c r="BT72" s="312"/>
      <c r="BU72" s="312"/>
      <c r="BV72" s="312"/>
      <c r="BW72" s="312"/>
      <c r="BX72" s="312"/>
      <c r="BY72" s="312"/>
      <c r="BZ72" s="312"/>
      <c r="CA72" s="312"/>
      <c r="CB72" s="312"/>
      <c r="CC72" s="312"/>
      <c r="CD72" s="312"/>
      <c r="CE72" s="312"/>
      <c r="CF72" s="312"/>
      <c r="CG72" s="312"/>
      <c r="CH72" s="312"/>
      <c r="CI72" s="312"/>
      <c r="CJ72" s="312"/>
      <c r="CK72" s="312"/>
      <c r="CL72" s="312"/>
      <c r="CM72" s="312"/>
      <c r="CN72" s="312"/>
      <c r="CO72" s="312"/>
      <c r="CP72" s="312"/>
      <c r="CQ72" s="312"/>
      <c r="CR72" s="312"/>
    </row>
    <row r="73" spans="1:96" s="300" customFormat="1" ht="15.75" customHeight="1">
      <c r="A73" s="313"/>
      <c r="B73" s="305" t="s">
        <v>667</v>
      </c>
      <c r="C73" s="311">
        <v>2843</v>
      </c>
      <c r="D73" s="311">
        <v>3049</v>
      </c>
      <c r="E73" s="306">
        <f t="shared" si="10"/>
        <v>7.245867041857193</v>
      </c>
      <c r="F73" s="310">
        <v>9479</v>
      </c>
      <c r="G73" s="311">
        <v>10017</v>
      </c>
      <c r="H73" s="306">
        <f t="shared" si="11"/>
        <v>5.675704188205507</v>
      </c>
      <c r="I73" s="310">
        <v>3285</v>
      </c>
      <c r="J73" s="311">
        <v>3513</v>
      </c>
      <c r="K73" s="306">
        <f>IF(I73&gt;0,(((J73-I73)/I73)*100),0)</f>
        <v>6.940639269406393</v>
      </c>
      <c r="L73" s="310">
        <v>11247</v>
      </c>
      <c r="M73" s="311">
        <v>11873</v>
      </c>
      <c r="N73" s="306">
        <f>IF(L73&gt;0,(((M73-L73)/L73)*100),0)</f>
        <v>5.56592869209567</v>
      </c>
      <c r="O73" s="310"/>
      <c r="P73" s="311"/>
      <c r="Q73" s="306"/>
      <c r="R73" s="310"/>
      <c r="S73" s="311"/>
      <c r="T73" s="306"/>
      <c r="U73" s="310"/>
      <c r="V73" s="311"/>
      <c r="W73" s="306"/>
      <c r="X73" s="310"/>
      <c r="Y73" s="311"/>
      <c r="Z73" s="306"/>
      <c r="AA73" s="310"/>
      <c r="AB73" s="311"/>
      <c r="AC73" s="306"/>
      <c r="AD73" s="310"/>
      <c r="AE73" s="311"/>
      <c r="AF73" s="306"/>
      <c r="AG73" s="310"/>
      <c r="AH73" s="311"/>
      <c r="AI73" s="306"/>
      <c r="AJ73" s="310"/>
      <c r="AK73" s="311"/>
      <c r="AL73" s="306"/>
      <c r="AM73" s="310"/>
      <c r="AN73" s="311"/>
      <c r="AO73" s="306"/>
      <c r="AP73" s="310"/>
      <c r="AQ73" s="311"/>
      <c r="AR73" s="306"/>
      <c r="AS73" s="310"/>
      <c r="AT73" s="311"/>
      <c r="AU73" s="306"/>
      <c r="AV73" s="310"/>
      <c r="AW73" s="311"/>
      <c r="AX73" s="306"/>
      <c r="AY73" s="310"/>
      <c r="AZ73" s="311"/>
      <c r="BA73" s="306"/>
      <c r="BB73" s="310"/>
      <c r="BC73" s="311"/>
      <c r="BD73" s="306"/>
      <c r="BE73" s="312"/>
      <c r="BF73" s="312"/>
      <c r="BG73" s="312"/>
      <c r="BH73" s="312"/>
      <c r="BI73" s="312"/>
      <c r="BJ73" s="312"/>
      <c r="BK73" s="312"/>
      <c r="BL73" s="312"/>
      <c r="BM73" s="312"/>
      <c r="BN73" s="312"/>
      <c r="BO73" s="312"/>
      <c r="BP73" s="312"/>
      <c r="BQ73" s="312"/>
      <c r="BR73" s="312"/>
      <c r="BS73" s="312"/>
      <c r="BT73" s="312"/>
      <c r="BU73" s="312"/>
      <c r="BV73" s="312"/>
      <c r="BW73" s="312"/>
      <c r="BX73" s="312"/>
      <c r="BY73" s="312"/>
      <c r="BZ73" s="312"/>
      <c r="CA73" s="312"/>
      <c r="CB73" s="312"/>
      <c r="CC73" s="312"/>
      <c r="CD73" s="312"/>
      <c r="CE73" s="312"/>
      <c r="CF73" s="312"/>
      <c r="CG73" s="312"/>
      <c r="CH73" s="312"/>
      <c r="CI73" s="312"/>
      <c r="CJ73" s="312"/>
      <c r="CK73" s="312"/>
      <c r="CL73" s="312"/>
      <c r="CM73" s="312"/>
      <c r="CN73" s="312"/>
      <c r="CO73" s="312"/>
      <c r="CP73" s="312"/>
      <c r="CQ73" s="312"/>
      <c r="CR73" s="312"/>
    </row>
    <row r="74" spans="1:96" s="300" customFormat="1" ht="15.75" customHeight="1">
      <c r="A74" s="313"/>
      <c r="B74" s="305" t="s">
        <v>668</v>
      </c>
      <c r="C74" s="311">
        <v>2776</v>
      </c>
      <c r="D74" s="311">
        <v>2897</v>
      </c>
      <c r="E74" s="306">
        <f t="shared" si="10"/>
        <v>4.358789625360231</v>
      </c>
      <c r="F74" s="310">
        <v>9412</v>
      </c>
      <c r="G74" s="311">
        <v>9865</v>
      </c>
      <c r="H74" s="306">
        <f t="shared" si="11"/>
        <v>4.813004674883127</v>
      </c>
      <c r="I74" s="310">
        <v>3218</v>
      </c>
      <c r="J74" s="311">
        <v>3361</v>
      </c>
      <c r="K74" s="306">
        <f>IF(I74&gt;0,(((J74-I74)/I74)*100),0)</f>
        <v>4.443753884400248</v>
      </c>
      <c r="L74" s="310">
        <v>11180</v>
      </c>
      <c r="M74" s="311">
        <v>11721</v>
      </c>
      <c r="N74" s="306">
        <f>IF(L74&gt;0,(((M74-L74)/L74)*100),0)</f>
        <v>4.838998211091234</v>
      </c>
      <c r="O74" s="310"/>
      <c r="P74" s="311"/>
      <c r="Q74" s="306"/>
      <c r="R74" s="310"/>
      <c r="S74" s="311"/>
      <c r="T74" s="306"/>
      <c r="U74" s="310"/>
      <c r="V74" s="311"/>
      <c r="W74" s="306"/>
      <c r="X74" s="310"/>
      <c r="Y74" s="311"/>
      <c r="Z74" s="306"/>
      <c r="AA74" s="310"/>
      <c r="AB74" s="311"/>
      <c r="AC74" s="306"/>
      <c r="AD74" s="310"/>
      <c r="AE74" s="311"/>
      <c r="AF74" s="306"/>
      <c r="AG74" s="310"/>
      <c r="AH74" s="311"/>
      <c r="AI74" s="306"/>
      <c r="AJ74" s="310"/>
      <c r="AK74" s="311"/>
      <c r="AL74" s="306"/>
      <c r="AM74" s="310"/>
      <c r="AN74" s="311"/>
      <c r="AO74" s="306"/>
      <c r="AP74" s="310"/>
      <c r="AQ74" s="311"/>
      <c r="AR74" s="306"/>
      <c r="AS74" s="310"/>
      <c r="AT74" s="311"/>
      <c r="AU74" s="306"/>
      <c r="AV74" s="310"/>
      <c r="AW74" s="311"/>
      <c r="AX74" s="306"/>
      <c r="AY74" s="310"/>
      <c r="AZ74" s="311"/>
      <c r="BA74" s="306"/>
      <c r="BB74" s="310"/>
      <c r="BC74" s="311"/>
      <c r="BD74" s="306"/>
      <c r="BE74" s="312"/>
      <c r="BF74" s="312"/>
      <c r="BG74" s="312"/>
      <c r="BH74" s="312"/>
      <c r="BI74" s="312"/>
      <c r="BJ74" s="312"/>
      <c r="BK74" s="312"/>
      <c r="BL74" s="312"/>
      <c r="BM74" s="312"/>
      <c r="BN74" s="312"/>
      <c r="BO74" s="312"/>
      <c r="BP74" s="312"/>
      <c r="BQ74" s="312"/>
      <c r="BR74" s="312"/>
      <c r="BS74" s="312"/>
      <c r="BT74" s="312"/>
      <c r="BU74" s="312"/>
      <c r="BV74" s="312"/>
      <c r="BW74" s="312"/>
      <c r="BX74" s="312"/>
      <c r="BY74" s="312"/>
      <c r="BZ74" s="312"/>
      <c r="CA74" s="312"/>
      <c r="CB74" s="312"/>
      <c r="CC74" s="312"/>
      <c r="CD74" s="312"/>
      <c r="CE74" s="312"/>
      <c r="CF74" s="312"/>
      <c r="CG74" s="312"/>
      <c r="CH74" s="312"/>
      <c r="CI74" s="312"/>
      <c r="CJ74" s="312"/>
      <c r="CK74" s="312"/>
      <c r="CL74" s="312"/>
      <c r="CM74" s="312"/>
      <c r="CN74" s="312"/>
      <c r="CO74" s="312"/>
      <c r="CP74" s="312"/>
      <c r="CQ74" s="312"/>
      <c r="CR74" s="312"/>
    </row>
    <row r="75" spans="1:96" s="300" customFormat="1" ht="15.75" customHeight="1">
      <c r="A75" s="313"/>
      <c r="B75" s="305" t="s">
        <v>669</v>
      </c>
      <c r="C75" s="311">
        <v>2784</v>
      </c>
      <c r="D75" s="311">
        <v>2904</v>
      </c>
      <c r="E75" s="306">
        <f t="shared" si="10"/>
        <v>4.310344827586207</v>
      </c>
      <c r="F75" s="310">
        <v>9420</v>
      </c>
      <c r="G75" s="311">
        <v>9872</v>
      </c>
      <c r="H75" s="306">
        <f t="shared" si="11"/>
        <v>4.798301486199576</v>
      </c>
      <c r="I75" s="310">
        <v>3226</v>
      </c>
      <c r="J75" s="311">
        <v>3368</v>
      </c>
      <c r="K75" s="306">
        <f>IF(I75&gt;0,(((J75-I75)/I75)*100),0)</f>
        <v>4.401735895846249</v>
      </c>
      <c r="L75" s="310">
        <v>11188</v>
      </c>
      <c r="M75" s="311">
        <v>11728</v>
      </c>
      <c r="N75" s="306">
        <f>IF(L75&gt;0,(((M75-L75)/L75)*100),0)</f>
        <v>4.826599928494816</v>
      </c>
      <c r="O75" s="310"/>
      <c r="P75" s="311"/>
      <c r="Q75" s="306"/>
      <c r="R75" s="310"/>
      <c r="S75" s="311"/>
      <c r="T75" s="306"/>
      <c r="U75" s="310"/>
      <c r="V75" s="311"/>
      <c r="W75" s="306"/>
      <c r="X75" s="310"/>
      <c r="Y75" s="311"/>
      <c r="Z75" s="306"/>
      <c r="AA75" s="310"/>
      <c r="AB75" s="311"/>
      <c r="AC75" s="306"/>
      <c r="AD75" s="310"/>
      <c r="AE75" s="311"/>
      <c r="AF75" s="306"/>
      <c r="AG75" s="310"/>
      <c r="AH75" s="311"/>
      <c r="AI75" s="306"/>
      <c r="AJ75" s="310"/>
      <c r="AK75" s="311"/>
      <c r="AL75" s="306"/>
      <c r="AM75" s="310"/>
      <c r="AN75" s="311"/>
      <c r="AO75" s="306"/>
      <c r="AP75" s="310"/>
      <c r="AQ75" s="311"/>
      <c r="AR75" s="306"/>
      <c r="AS75" s="310"/>
      <c r="AT75" s="311"/>
      <c r="AU75" s="306"/>
      <c r="AV75" s="310"/>
      <c r="AW75" s="311"/>
      <c r="AX75" s="306"/>
      <c r="AY75" s="310"/>
      <c r="AZ75" s="311"/>
      <c r="BA75" s="306"/>
      <c r="BB75" s="310"/>
      <c r="BC75" s="311"/>
      <c r="BD75" s="306"/>
      <c r="BE75" s="312"/>
      <c r="BF75" s="312"/>
      <c r="BG75" s="312"/>
      <c r="BH75" s="312"/>
      <c r="BI75" s="312"/>
      <c r="BJ75" s="312"/>
      <c r="BK75" s="312"/>
      <c r="BL75" s="312"/>
      <c r="BM75" s="312"/>
      <c r="BN75" s="312"/>
      <c r="BO75" s="312"/>
      <c r="BP75" s="312"/>
      <c r="BQ75" s="312"/>
      <c r="BR75" s="312"/>
      <c r="BS75" s="312"/>
      <c r="BT75" s="312"/>
      <c r="BU75" s="312"/>
      <c r="BV75" s="312"/>
      <c r="BW75" s="312"/>
      <c r="BX75" s="312"/>
      <c r="BY75" s="312"/>
      <c r="BZ75" s="312"/>
      <c r="CA75" s="312"/>
      <c r="CB75" s="312"/>
      <c r="CC75" s="312"/>
      <c r="CD75" s="312"/>
      <c r="CE75" s="312"/>
      <c r="CF75" s="312"/>
      <c r="CG75" s="312"/>
      <c r="CH75" s="312"/>
      <c r="CI75" s="312"/>
      <c r="CJ75" s="312"/>
      <c r="CK75" s="312"/>
      <c r="CL75" s="312"/>
      <c r="CM75" s="312"/>
      <c r="CN75" s="312"/>
      <c r="CO75" s="312"/>
      <c r="CP75" s="312"/>
      <c r="CQ75" s="312"/>
      <c r="CR75" s="312"/>
    </row>
    <row r="76" spans="1:96" s="300" customFormat="1" ht="15.75" customHeight="1">
      <c r="A76" s="313"/>
      <c r="B76" s="305" t="s">
        <v>670</v>
      </c>
      <c r="C76" s="311">
        <v>2670</v>
      </c>
      <c r="D76" s="311">
        <v>2802</v>
      </c>
      <c r="E76" s="306">
        <f t="shared" si="10"/>
        <v>4.943820224719101</v>
      </c>
      <c r="F76" s="310">
        <v>9306</v>
      </c>
      <c r="G76" s="311">
        <v>9770</v>
      </c>
      <c r="H76" s="306">
        <f t="shared" si="11"/>
        <v>4.986030517945412</v>
      </c>
      <c r="I76" s="310">
        <v>0</v>
      </c>
      <c r="J76" s="311">
        <v>0</v>
      </c>
      <c r="K76" s="306"/>
      <c r="L76" s="310">
        <v>0</v>
      </c>
      <c r="M76" s="311">
        <v>0</v>
      </c>
      <c r="N76" s="306"/>
      <c r="O76" s="310"/>
      <c r="P76" s="311"/>
      <c r="Q76" s="306"/>
      <c r="R76" s="310"/>
      <c r="S76" s="311"/>
      <c r="T76" s="306"/>
      <c r="U76" s="310"/>
      <c r="V76" s="311"/>
      <c r="W76" s="306"/>
      <c r="X76" s="310"/>
      <c r="Y76" s="311"/>
      <c r="Z76" s="306"/>
      <c r="AA76" s="310"/>
      <c r="AB76" s="311"/>
      <c r="AC76" s="306"/>
      <c r="AD76" s="310"/>
      <c r="AE76" s="311"/>
      <c r="AF76" s="306"/>
      <c r="AG76" s="310"/>
      <c r="AH76" s="311"/>
      <c r="AI76" s="306"/>
      <c r="AJ76" s="310"/>
      <c r="AK76" s="311"/>
      <c r="AL76" s="306"/>
      <c r="AM76" s="310"/>
      <c r="AN76" s="311"/>
      <c r="AO76" s="306"/>
      <c r="AP76" s="310"/>
      <c r="AQ76" s="311"/>
      <c r="AR76" s="306"/>
      <c r="AS76" s="310"/>
      <c r="AT76" s="311"/>
      <c r="AU76" s="306"/>
      <c r="AV76" s="310"/>
      <c r="AW76" s="311"/>
      <c r="AX76" s="306"/>
      <c r="AY76" s="310"/>
      <c r="AZ76" s="311"/>
      <c r="BA76" s="306"/>
      <c r="BB76" s="310"/>
      <c r="BC76" s="311"/>
      <c r="BD76" s="306"/>
      <c r="BE76" s="312"/>
      <c r="BF76" s="312"/>
      <c r="BG76" s="312"/>
      <c r="BH76" s="312"/>
      <c r="BI76" s="312"/>
      <c r="BJ76" s="312"/>
      <c r="BK76" s="312"/>
      <c r="BL76" s="312"/>
      <c r="BM76" s="312"/>
      <c r="BN76" s="312"/>
      <c r="BO76" s="312"/>
      <c r="BP76" s="312"/>
      <c r="BQ76" s="312"/>
      <c r="BR76" s="312"/>
      <c r="BS76" s="312"/>
      <c r="BT76" s="312"/>
      <c r="BU76" s="312"/>
      <c r="BV76" s="312"/>
      <c r="BW76" s="312"/>
      <c r="BX76" s="312"/>
      <c r="BY76" s="312"/>
      <c r="BZ76" s="312"/>
      <c r="CA76" s="312"/>
      <c r="CB76" s="312"/>
      <c r="CC76" s="312"/>
      <c r="CD76" s="312"/>
      <c r="CE76" s="312"/>
      <c r="CF76" s="312"/>
      <c r="CG76" s="312"/>
      <c r="CH76" s="312"/>
      <c r="CI76" s="312"/>
      <c r="CJ76" s="312"/>
      <c r="CK76" s="312"/>
      <c r="CL76" s="312"/>
      <c r="CM76" s="312"/>
      <c r="CN76" s="312"/>
      <c r="CO76" s="312"/>
      <c r="CP76" s="312"/>
      <c r="CQ76" s="312"/>
      <c r="CR76" s="312"/>
    </row>
    <row r="77" spans="1:96" s="300" customFormat="1" ht="15.75" customHeight="1">
      <c r="A77" s="313"/>
      <c r="B77" s="305" t="s">
        <v>1041</v>
      </c>
      <c r="C77" s="311">
        <v>2784</v>
      </c>
      <c r="D77" s="311">
        <v>2906</v>
      </c>
      <c r="E77" s="306">
        <f t="shared" si="10"/>
        <v>4.3821839080459775</v>
      </c>
      <c r="F77" s="310">
        <v>9420</v>
      </c>
      <c r="G77" s="311">
        <v>9874</v>
      </c>
      <c r="H77" s="306">
        <f t="shared" si="11"/>
        <v>4.8195329087048835</v>
      </c>
      <c r="I77" s="310">
        <v>3226</v>
      </c>
      <c r="J77" s="311">
        <v>3375</v>
      </c>
      <c r="K77" s="306">
        <f>IF(I77&gt;0,(((J77-I77)/I77)*100),0)</f>
        <v>4.618722876627402</v>
      </c>
      <c r="L77" s="310">
        <v>11188</v>
      </c>
      <c r="M77" s="311">
        <v>11735</v>
      </c>
      <c r="N77" s="306">
        <f>IF(L77&gt;0,(((M77-L77)/L77)*100),0)</f>
        <v>4.889166964604934</v>
      </c>
      <c r="O77" s="310"/>
      <c r="P77" s="311"/>
      <c r="Q77" s="306"/>
      <c r="R77" s="310"/>
      <c r="S77" s="311"/>
      <c r="T77" s="306"/>
      <c r="U77" s="310"/>
      <c r="V77" s="311"/>
      <c r="W77" s="306"/>
      <c r="X77" s="310"/>
      <c r="Y77" s="311"/>
      <c r="Z77" s="306"/>
      <c r="AA77" s="310"/>
      <c r="AB77" s="311"/>
      <c r="AC77" s="306"/>
      <c r="AD77" s="310"/>
      <c r="AE77" s="311"/>
      <c r="AF77" s="306"/>
      <c r="AG77" s="310"/>
      <c r="AH77" s="311"/>
      <c r="AI77" s="306"/>
      <c r="AJ77" s="310"/>
      <c r="AK77" s="311"/>
      <c r="AL77" s="306"/>
      <c r="AM77" s="310"/>
      <c r="AN77" s="311"/>
      <c r="AO77" s="306"/>
      <c r="AP77" s="310"/>
      <c r="AQ77" s="311"/>
      <c r="AR77" s="306"/>
      <c r="AS77" s="310"/>
      <c r="AT77" s="311"/>
      <c r="AU77" s="306"/>
      <c r="AV77" s="310"/>
      <c r="AW77" s="311"/>
      <c r="AX77" s="306"/>
      <c r="AY77" s="310"/>
      <c r="AZ77" s="311"/>
      <c r="BA77" s="306"/>
      <c r="BB77" s="310"/>
      <c r="BC77" s="311"/>
      <c r="BD77" s="306"/>
      <c r="BE77" s="312"/>
      <c r="BF77" s="312"/>
      <c r="BG77" s="312"/>
      <c r="BH77" s="312"/>
      <c r="BI77" s="312"/>
      <c r="BJ77" s="312"/>
      <c r="BK77" s="312"/>
      <c r="BL77" s="312"/>
      <c r="BM77" s="312"/>
      <c r="BN77" s="312"/>
      <c r="BO77" s="312"/>
      <c r="BP77" s="312"/>
      <c r="BQ77" s="312"/>
      <c r="BR77" s="312"/>
      <c r="BS77" s="312"/>
      <c r="BT77" s="312"/>
      <c r="BU77" s="312"/>
      <c r="BV77" s="312"/>
      <c r="BW77" s="312"/>
      <c r="BX77" s="312"/>
      <c r="BY77" s="312"/>
      <c r="BZ77" s="312"/>
      <c r="CA77" s="312"/>
      <c r="CB77" s="312"/>
      <c r="CC77" s="312"/>
      <c r="CD77" s="312"/>
      <c r="CE77" s="312"/>
      <c r="CF77" s="312"/>
      <c r="CG77" s="312"/>
      <c r="CH77" s="312"/>
      <c r="CI77" s="312"/>
      <c r="CJ77" s="312"/>
      <c r="CK77" s="312"/>
      <c r="CL77" s="312"/>
      <c r="CM77" s="312"/>
      <c r="CN77" s="312"/>
      <c r="CO77" s="312"/>
      <c r="CP77" s="312"/>
      <c r="CQ77" s="312"/>
      <c r="CR77" s="312"/>
    </row>
    <row r="78" spans="1:96" s="300" customFormat="1" ht="15.75" customHeight="1">
      <c r="A78" s="313"/>
      <c r="B78" s="305" t="s">
        <v>671</v>
      </c>
      <c r="C78" s="311">
        <v>1539</v>
      </c>
      <c r="D78" s="311">
        <v>1609</v>
      </c>
      <c r="E78" s="306">
        <f t="shared" si="10"/>
        <v>4.548408057179987</v>
      </c>
      <c r="F78" s="310">
        <v>5733</v>
      </c>
      <c r="G78" s="311">
        <v>6013</v>
      </c>
      <c r="H78" s="306">
        <f t="shared" si="11"/>
        <v>4.884004884004884</v>
      </c>
      <c r="I78" s="310"/>
      <c r="J78" s="311"/>
      <c r="K78" s="306"/>
      <c r="L78" s="310"/>
      <c r="M78" s="311"/>
      <c r="N78" s="306"/>
      <c r="O78" s="310"/>
      <c r="P78" s="311"/>
      <c r="Q78" s="306"/>
      <c r="R78" s="310"/>
      <c r="S78" s="311"/>
      <c r="T78" s="306"/>
      <c r="U78" s="310"/>
      <c r="V78" s="311"/>
      <c r="W78" s="306"/>
      <c r="X78" s="310"/>
      <c r="Y78" s="311"/>
      <c r="Z78" s="306"/>
      <c r="AA78" s="310"/>
      <c r="AB78" s="311"/>
      <c r="AC78" s="306"/>
      <c r="AD78" s="310"/>
      <c r="AE78" s="311"/>
      <c r="AF78" s="306"/>
      <c r="AG78" s="310"/>
      <c r="AH78" s="311"/>
      <c r="AI78" s="306"/>
      <c r="AJ78" s="310"/>
      <c r="AK78" s="311"/>
      <c r="AL78" s="306"/>
      <c r="AM78" s="310"/>
      <c r="AN78" s="311"/>
      <c r="AO78" s="306"/>
      <c r="AP78" s="310"/>
      <c r="AQ78" s="311"/>
      <c r="AR78" s="306"/>
      <c r="AS78" s="310"/>
      <c r="AT78" s="311"/>
      <c r="AU78" s="306"/>
      <c r="AV78" s="310"/>
      <c r="AW78" s="311"/>
      <c r="AX78" s="306"/>
      <c r="AY78" s="310"/>
      <c r="AZ78" s="311"/>
      <c r="BA78" s="306"/>
      <c r="BB78" s="310"/>
      <c r="BC78" s="311"/>
      <c r="BD78" s="306"/>
      <c r="BE78" s="312"/>
      <c r="BF78" s="312"/>
      <c r="BG78" s="312"/>
      <c r="BH78" s="312"/>
      <c r="BI78" s="312"/>
      <c r="BJ78" s="312"/>
      <c r="BK78" s="312"/>
      <c r="BL78" s="312"/>
      <c r="BM78" s="312"/>
      <c r="BN78" s="312"/>
      <c r="BO78" s="312"/>
      <c r="BP78" s="312"/>
      <c r="BQ78" s="312"/>
      <c r="BR78" s="312"/>
      <c r="BS78" s="312"/>
      <c r="BT78" s="312"/>
      <c r="BU78" s="312"/>
      <c r="BV78" s="312"/>
      <c r="BW78" s="312"/>
      <c r="BX78" s="312"/>
      <c r="BY78" s="312"/>
      <c r="BZ78" s="312"/>
      <c r="CA78" s="312"/>
      <c r="CB78" s="312"/>
      <c r="CC78" s="312"/>
      <c r="CD78" s="312"/>
      <c r="CE78" s="312"/>
      <c r="CF78" s="312"/>
      <c r="CG78" s="312"/>
      <c r="CH78" s="312"/>
      <c r="CI78" s="312"/>
      <c r="CJ78" s="312"/>
      <c r="CK78" s="312"/>
      <c r="CL78" s="312"/>
      <c r="CM78" s="312"/>
      <c r="CN78" s="312"/>
      <c r="CO78" s="312"/>
      <c r="CP78" s="312"/>
      <c r="CQ78" s="312"/>
      <c r="CR78" s="312"/>
    </row>
    <row r="79" spans="1:96" s="300" customFormat="1" ht="15.75" customHeight="1">
      <c r="A79" s="313"/>
      <c r="B79" s="305" t="s">
        <v>672</v>
      </c>
      <c r="C79" s="311">
        <v>1642</v>
      </c>
      <c r="D79" s="311">
        <v>1724</v>
      </c>
      <c r="E79" s="306">
        <f t="shared" si="10"/>
        <v>4.993909866017052</v>
      </c>
      <c r="F79" s="310">
        <v>5836</v>
      </c>
      <c r="G79" s="311">
        <v>6128</v>
      </c>
      <c r="H79" s="306">
        <f t="shared" si="11"/>
        <v>5.003427004797807</v>
      </c>
      <c r="I79" s="310"/>
      <c r="J79" s="311"/>
      <c r="K79" s="306"/>
      <c r="L79" s="310"/>
      <c r="M79" s="311"/>
      <c r="N79" s="306"/>
      <c r="O79" s="310"/>
      <c r="P79" s="311"/>
      <c r="Q79" s="306"/>
      <c r="R79" s="310"/>
      <c r="S79" s="311"/>
      <c r="T79" s="306"/>
      <c r="U79" s="310"/>
      <c r="V79" s="311"/>
      <c r="W79" s="306"/>
      <c r="X79" s="310"/>
      <c r="Y79" s="311"/>
      <c r="Z79" s="306"/>
      <c r="AA79" s="310"/>
      <c r="AB79" s="311"/>
      <c r="AC79" s="306"/>
      <c r="AD79" s="310"/>
      <c r="AE79" s="311"/>
      <c r="AF79" s="306"/>
      <c r="AG79" s="310"/>
      <c r="AH79" s="311"/>
      <c r="AI79" s="306"/>
      <c r="AJ79" s="310"/>
      <c r="AK79" s="311"/>
      <c r="AL79" s="306"/>
      <c r="AM79" s="310"/>
      <c r="AN79" s="311"/>
      <c r="AO79" s="306"/>
      <c r="AP79" s="310"/>
      <c r="AQ79" s="311"/>
      <c r="AR79" s="306"/>
      <c r="AS79" s="310"/>
      <c r="AT79" s="311"/>
      <c r="AU79" s="306"/>
      <c r="AV79" s="310"/>
      <c r="AW79" s="311"/>
      <c r="AX79" s="306"/>
      <c r="AY79" s="310"/>
      <c r="AZ79" s="311"/>
      <c r="BA79" s="306"/>
      <c r="BB79" s="310"/>
      <c r="BC79" s="311"/>
      <c r="BD79" s="306"/>
      <c r="BE79" s="312"/>
      <c r="BF79" s="312"/>
      <c r="BG79" s="312"/>
      <c r="BH79" s="312"/>
      <c r="BI79" s="312"/>
      <c r="BJ79" s="312"/>
      <c r="BK79" s="312"/>
      <c r="BL79" s="312"/>
      <c r="BM79" s="312"/>
      <c r="BN79" s="312"/>
      <c r="BO79" s="312"/>
      <c r="BP79" s="312"/>
      <c r="BQ79" s="312"/>
      <c r="BR79" s="312"/>
      <c r="BS79" s="312"/>
      <c r="BT79" s="312"/>
      <c r="BU79" s="312"/>
      <c r="BV79" s="312"/>
      <c r="BW79" s="312"/>
      <c r="BX79" s="312"/>
      <c r="BY79" s="312"/>
      <c r="BZ79" s="312"/>
      <c r="CA79" s="312"/>
      <c r="CB79" s="312"/>
      <c r="CC79" s="312"/>
      <c r="CD79" s="312"/>
      <c r="CE79" s="312"/>
      <c r="CF79" s="312"/>
      <c r="CG79" s="312"/>
      <c r="CH79" s="312"/>
      <c r="CI79" s="312"/>
      <c r="CJ79" s="312"/>
      <c r="CK79" s="312"/>
      <c r="CL79" s="312"/>
      <c r="CM79" s="312"/>
      <c r="CN79" s="312"/>
      <c r="CO79" s="312"/>
      <c r="CP79" s="312"/>
      <c r="CQ79" s="312"/>
      <c r="CR79" s="312"/>
    </row>
    <row r="80" spans="1:96" s="300" customFormat="1" ht="15.75" customHeight="1">
      <c r="A80" s="313"/>
      <c r="B80" s="305" t="s">
        <v>673</v>
      </c>
      <c r="C80" s="311">
        <v>1582</v>
      </c>
      <c r="D80" s="311">
        <v>1656</v>
      </c>
      <c r="E80" s="306">
        <f t="shared" si="10"/>
        <v>4.677623261694058</v>
      </c>
      <c r="F80" s="310">
        <v>5776</v>
      </c>
      <c r="G80" s="311">
        <v>6060</v>
      </c>
      <c r="H80" s="306">
        <f t="shared" si="11"/>
        <v>4.916897506925208</v>
      </c>
      <c r="I80" s="310"/>
      <c r="J80" s="311"/>
      <c r="K80" s="306"/>
      <c r="L80" s="310"/>
      <c r="M80" s="311"/>
      <c r="N80" s="306"/>
      <c r="O80" s="310"/>
      <c r="P80" s="311"/>
      <c r="Q80" s="306"/>
      <c r="R80" s="310"/>
      <c r="S80" s="311"/>
      <c r="T80" s="306"/>
      <c r="U80" s="310"/>
      <c r="V80" s="311"/>
      <c r="W80" s="306"/>
      <c r="X80" s="310"/>
      <c r="Y80" s="311"/>
      <c r="Z80" s="306"/>
      <c r="AA80" s="310"/>
      <c r="AB80" s="311"/>
      <c r="AC80" s="306"/>
      <c r="AD80" s="310"/>
      <c r="AE80" s="311"/>
      <c r="AF80" s="306"/>
      <c r="AG80" s="310"/>
      <c r="AH80" s="311"/>
      <c r="AI80" s="306"/>
      <c r="AJ80" s="310"/>
      <c r="AK80" s="311"/>
      <c r="AL80" s="306"/>
      <c r="AM80" s="310"/>
      <c r="AN80" s="311"/>
      <c r="AO80" s="306"/>
      <c r="AP80" s="310"/>
      <c r="AQ80" s="311"/>
      <c r="AR80" s="306"/>
      <c r="AS80" s="310"/>
      <c r="AT80" s="311"/>
      <c r="AU80" s="306"/>
      <c r="AV80" s="310"/>
      <c r="AW80" s="311"/>
      <c r="AX80" s="306"/>
      <c r="AY80" s="310"/>
      <c r="AZ80" s="311"/>
      <c r="BA80" s="306"/>
      <c r="BB80" s="310"/>
      <c r="BC80" s="311"/>
      <c r="BD80" s="306"/>
      <c r="BE80" s="312"/>
      <c r="BF80" s="312"/>
      <c r="BG80" s="312"/>
      <c r="BH80" s="312"/>
      <c r="BI80" s="312"/>
      <c r="BJ80" s="312"/>
      <c r="BK80" s="312"/>
      <c r="BL80" s="312"/>
      <c r="BM80" s="312"/>
      <c r="BN80" s="312"/>
      <c r="BO80" s="312"/>
      <c r="BP80" s="312"/>
      <c r="BQ80" s="312"/>
      <c r="BR80" s="312"/>
      <c r="BS80" s="312"/>
      <c r="BT80" s="312"/>
      <c r="BU80" s="312"/>
      <c r="BV80" s="312"/>
      <c r="BW80" s="312"/>
      <c r="BX80" s="312"/>
      <c r="BY80" s="312"/>
      <c r="BZ80" s="312"/>
      <c r="CA80" s="312"/>
      <c r="CB80" s="312"/>
      <c r="CC80" s="312"/>
      <c r="CD80" s="312"/>
      <c r="CE80" s="312"/>
      <c r="CF80" s="312"/>
      <c r="CG80" s="312"/>
      <c r="CH80" s="312"/>
      <c r="CI80" s="312"/>
      <c r="CJ80" s="312"/>
      <c r="CK80" s="312"/>
      <c r="CL80" s="312"/>
      <c r="CM80" s="312"/>
      <c r="CN80" s="312"/>
      <c r="CO80" s="312"/>
      <c r="CP80" s="312"/>
      <c r="CQ80" s="312"/>
      <c r="CR80" s="312"/>
    </row>
    <row r="81" spans="1:96" s="300" customFormat="1" ht="15.75" customHeight="1">
      <c r="A81" s="313"/>
      <c r="B81" s="305" t="s">
        <v>76</v>
      </c>
      <c r="C81" s="311">
        <v>1598</v>
      </c>
      <c r="D81" s="311">
        <v>1678</v>
      </c>
      <c r="E81" s="306">
        <f t="shared" si="10"/>
        <v>5.006257822277847</v>
      </c>
      <c r="F81" s="310">
        <v>5792</v>
      </c>
      <c r="G81" s="311">
        <v>6082</v>
      </c>
      <c r="H81" s="306">
        <f t="shared" si="11"/>
        <v>5.006906077348066</v>
      </c>
      <c r="I81" s="310"/>
      <c r="J81" s="311"/>
      <c r="K81" s="306"/>
      <c r="L81" s="310"/>
      <c r="M81" s="311"/>
      <c r="N81" s="306"/>
      <c r="O81" s="310"/>
      <c r="P81" s="311"/>
      <c r="Q81" s="306"/>
      <c r="R81" s="310"/>
      <c r="S81" s="311"/>
      <c r="T81" s="306"/>
      <c r="U81" s="310"/>
      <c r="V81" s="311"/>
      <c r="W81" s="306"/>
      <c r="X81" s="310"/>
      <c r="Y81" s="311"/>
      <c r="Z81" s="306"/>
      <c r="AA81" s="310"/>
      <c r="AB81" s="311"/>
      <c r="AC81" s="306"/>
      <c r="AD81" s="310"/>
      <c r="AE81" s="311"/>
      <c r="AF81" s="306"/>
      <c r="AG81" s="310"/>
      <c r="AH81" s="311"/>
      <c r="AI81" s="306"/>
      <c r="AJ81" s="310"/>
      <c r="AK81" s="311"/>
      <c r="AL81" s="306"/>
      <c r="AM81" s="310"/>
      <c r="AN81" s="311"/>
      <c r="AO81" s="306"/>
      <c r="AP81" s="310"/>
      <c r="AQ81" s="311"/>
      <c r="AR81" s="306"/>
      <c r="AS81" s="310"/>
      <c r="AT81" s="311"/>
      <c r="AU81" s="306"/>
      <c r="AV81" s="310"/>
      <c r="AW81" s="311"/>
      <c r="AX81" s="306"/>
      <c r="AY81" s="310"/>
      <c r="AZ81" s="311"/>
      <c r="BA81" s="306"/>
      <c r="BB81" s="310"/>
      <c r="BC81" s="311"/>
      <c r="BD81" s="306"/>
      <c r="BE81" s="312"/>
      <c r="BF81" s="312"/>
      <c r="BG81" s="312"/>
      <c r="BH81" s="312"/>
      <c r="BI81" s="312"/>
      <c r="BJ81" s="312"/>
      <c r="BK81" s="312"/>
      <c r="BL81" s="312"/>
      <c r="BM81" s="312"/>
      <c r="BN81" s="312"/>
      <c r="BO81" s="312"/>
      <c r="BP81" s="312"/>
      <c r="BQ81" s="312"/>
      <c r="BR81" s="312"/>
      <c r="BS81" s="312"/>
      <c r="BT81" s="312"/>
      <c r="BU81" s="312"/>
      <c r="BV81" s="312"/>
      <c r="BW81" s="312"/>
      <c r="BX81" s="312"/>
      <c r="BY81" s="312"/>
      <c r="BZ81" s="312"/>
      <c r="CA81" s="312"/>
      <c r="CB81" s="312"/>
      <c r="CC81" s="312"/>
      <c r="CD81" s="312"/>
      <c r="CE81" s="312"/>
      <c r="CF81" s="312"/>
      <c r="CG81" s="312"/>
      <c r="CH81" s="312"/>
      <c r="CI81" s="312"/>
      <c r="CJ81" s="312"/>
      <c r="CK81" s="312"/>
      <c r="CL81" s="312"/>
      <c r="CM81" s="312"/>
      <c r="CN81" s="312"/>
      <c r="CO81" s="312"/>
      <c r="CP81" s="312"/>
      <c r="CQ81" s="312"/>
      <c r="CR81" s="312"/>
    </row>
    <row r="82" spans="1:96" s="300" customFormat="1" ht="15.75" customHeight="1">
      <c r="A82" s="313"/>
      <c r="B82" s="305" t="s">
        <v>473</v>
      </c>
      <c r="C82" s="311">
        <v>1582</v>
      </c>
      <c r="D82" s="311">
        <v>1656</v>
      </c>
      <c r="E82" s="306">
        <f t="shared" si="10"/>
        <v>4.677623261694058</v>
      </c>
      <c r="F82" s="310">
        <v>5776</v>
      </c>
      <c r="G82" s="311">
        <v>6060</v>
      </c>
      <c r="H82" s="306">
        <f t="shared" si="11"/>
        <v>4.916897506925208</v>
      </c>
      <c r="I82" s="310"/>
      <c r="J82" s="311"/>
      <c r="K82" s="306"/>
      <c r="L82" s="310"/>
      <c r="M82" s="311"/>
      <c r="N82" s="306"/>
      <c r="O82" s="310"/>
      <c r="P82" s="311"/>
      <c r="Q82" s="306"/>
      <c r="R82" s="310"/>
      <c r="S82" s="311"/>
      <c r="T82" s="306"/>
      <c r="U82" s="310"/>
      <c r="V82" s="311"/>
      <c r="W82" s="306"/>
      <c r="X82" s="310"/>
      <c r="Y82" s="311"/>
      <c r="Z82" s="306"/>
      <c r="AA82" s="310"/>
      <c r="AB82" s="311"/>
      <c r="AC82" s="306"/>
      <c r="AD82" s="310"/>
      <c r="AE82" s="311"/>
      <c r="AF82" s="306"/>
      <c r="AG82" s="310"/>
      <c r="AH82" s="311"/>
      <c r="AI82" s="306"/>
      <c r="AJ82" s="310"/>
      <c r="AK82" s="311"/>
      <c r="AL82" s="306"/>
      <c r="AM82" s="310"/>
      <c r="AN82" s="311"/>
      <c r="AO82" s="306"/>
      <c r="AP82" s="310"/>
      <c r="AQ82" s="311"/>
      <c r="AR82" s="306"/>
      <c r="AS82" s="310"/>
      <c r="AT82" s="311"/>
      <c r="AU82" s="306"/>
      <c r="AV82" s="310"/>
      <c r="AW82" s="311"/>
      <c r="AX82" s="306"/>
      <c r="AY82" s="310"/>
      <c r="AZ82" s="311"/>
      <c r="BA82" s="306"/>
      <c r="BB82" s="310"/>
      <c r="BC82" s="311"/>
      <c r="BD82" s="306"/>
      <c r="BE82" s="312"/>
      <c r="BF82" s="312"/>
      <c r="BG82" s="312"/>
      <c r="BH82" s="312"/>
      <c r="BI82" s="312"/>
      <c r="BJ82" s="312"/>
      <c r="BK82" s="312"/>
      <c r="BL82" s="312"/>
      <c r="BM82" s="312"/>
      <c r="BN82" s="312"/>
      <c r="BO82" s="312"/>
      <c r="BP82" s="312"/>
      <c r="BQ82" s="312"/>
      <c r="BR82" s="312"/>
      <c r="BS82" s="312"/>
      <c r="BT82" s="312"/>
      <c r="BU82" s="312"/>
      <c r="BV82" s="312"/>
      <c r="BW82" s="312"/>
      <c r="BX82" s="312"/>
      <c r="BY82" s="312"/>
      <c r="BZ82" s="312"/>
      <c r="CA82" s="312"/>
      <c r="CB82" s="312"/>
      <c r="CC82" s="312"/>
      <c r="CD82" s="312"/>
      <c r="CE82" s="312"/>
      <c r="CF82" s="312"/>
      <c r="CG82" s="312"/>
      <c r="CH82" s="312"/>
      <c r="CI82" s="312"/>
      <c r="CJ82" s="312"/>
      <c r="CK82" s="312"/>
      <c r="CL82" s="312"/>
      <c r="CM82" s="312"/>
      <c r="CN82" s="312"/>
      <c r="CO82" s="312"/>
      <c r="CP82" s="312"/>
      <c r="CQ82" s="312"/>
      <c r="CR82" s="312"/>
    </row>
    <row r="83" spans="1:96" s="300" customFormat="1" ht="15.75" customHeight="1">
      <c r="A83" s="313"/>
      <c r="B83" s="305" t="s">
        <v>77</v>
      </c>
      <c r="C83" s="311">
        <v>1116</v>
      </c>
      <c r="D83" s="311">
        <v>1146</v>
      </c>
      <c r="E83" s="306">
        <f t="shared" si="10"/>
        <v>2.6881720430107525</v>
      </c>
      <c r="F83" s="310">
        <v>2095.5</v>
      </c>
      <c r="G83" s="311">
        <v>2155.5</v>
      </c>
      <c r="H83" s="306">
        <f t="shared" si="11"/>
        <v>2.863278453829635</v>
      </c>
      <c r="I83" s="310"/>
      <c r="J83" s="311"/>
      <c r="K83" s="306"/>
      <c r="L83" s="310"/>
      <c r="M83" s="311"/>
      <c r="N83" s="306"/>
      <c r="O83" s="310"/>
      <c r="P83" s="311"/>
      <c r="Q83" s="306"/>
      <c r="R83" s="310"/>
      <c r="S83" s="311"/>
      <c r="T83" s="306"/>
      <c r="U83" s="310"/>
      <c r="V83" s="311"/>
      <c r="W83" s="306"/>
      <c r="X83" s="310"/>
      <c r="Y83" s="311"/>
      <c r="Z83" s="306"/>
      <c r="AA83" s="310"/>
      <c r="AB83" s="311"/>
      <c r="AC83" s="306"/>
      <c r="AD83" s="310"/>
      <c r="AE83" s="311"/>
      <c r="AF83" s="306"/>
      <c r="AG83" s="310"/>
      <c r="AH83" s="311"/>
      <c r="AI83" s="306"/>
      <c r="AJ83" s="310"/>
      <c r="AK83" s="311"/>
      <c r="AL83" s="306"/>
      <c r="AM83" s="310"/>
      <c r="AN83" s="311"/>
      <c r="AO83" s="306"/>
      <c r="AP83" s="310"/>
      <c r="AQ83" s="311"/>
      <c r="AR83" s="306"/>
      <c r="AS83" s="310"/>
      <c r="AT83" s="311"/>
      <c r="AU83" s="306"/>
      <c r="AV83" s="310"/>
      <c r="AW83" s="311"/>
      <c r="AX83" s="306"/>
      <c r="AY83" s="310"/>
      <c r="AZ83" s="311"/>
      <c r="BA83" s="306"/>
      <c r="BB83" s="310"/>
      <c r="BC83" s="311"/>
      <c r="BD83" s="306"/>
      <c r="BE83" s="312"/>
      <c r="BF83" s="312"/>
      <c r="BG83" s="312"/>
      <c r="BH83" s="312"/>
      <c r="BI83" s="312"/>
      <c r="BJ83" s="312"/>
      <c r="BK83" s="312"/>
      <c r="BL83" s="312"/>
      <c r="BM83" s="312"/>
      <c r="BN83" s="312"/>
      <c r="BO83" s="312"/>
      <c r="BP83" s="312"/>
      <c r="BQ83" s="312"/>
      <c r="BR83" s="312"/>
      <c r="BS83" s="312"/>
      <c r="BT83" s="312"/>
      <c r="BU83" s="312"/>
      <c r="BV83" s="312"/>
      <c r="BW83" s="312"/>
      <c r="BX83" s="312"/>
      <c r="BY83" s="312"/>
      <c r="BZ83" s="312"/>
      <c r="CA83" s="312"/>
      <c r="CB83" s="312"/>
      <c r="CC83" s="312"/>
      <c r="CD83" s="312"/>
      <c r="CE83" s="312"/>
      <c r="CF83" s="312"/>
      <c r="CG83" s="312"/>
      <c r="CH83" s="312"/>
      <c r="CI83" s="312"/>
      <c r="CJ83" s="312"/>
      <c r="CK83" s="312"/>
      <c r="CL83" s="312"/>
      <c r="CM83" s="312"/>
      <c r="CN83" s="312"/>
      <c r="CO83" s="312"/>
      <c r="CP83" s="312"/>
      <c r="CQ83" s="312"/>
      <c r="CR83" s="312"/>
    </row>
    <row r="84" spans="1:96" s="300" customFormat="1" ht="15.75" customHeight="1">
      <c r="A84" s="313"/>
      <c r="B84" s="305" t="s">
        <v>63</v>
      </c>
      <c r="C84" s="311">
        <v>1110</v>
      </c>
      <c r="D84" s="311">
        <v>1146</v>
      </c>
      <c r="E84" s="306">
        <f t="shared" si="10"/>
        <v>3.2432432432432434</v>
      </c>
      <c r="F84" s="310">
        <v>2082</v>
      </c>
      <c r="G84" s="311">
        <v>2154</v>
      </c>
      <c r="H84" s="306">
        <f t="shared" si="11"/>
        <v>3.45821325648415</v>
      </c>
      <c r="I84" s="310"/>
      <c r="J84" s="311"/>
      <c r="K84" s="306"/>
      <c r="L84" s="310"/>
      <c r="M84" s="311"/>
      <c r="N84" s="306"/>
      <c r="O84" s="310"/>
      <c r="P84" s="311"/>
      <c r="Q84" s="306"/>
      <c r="R84" s="310"/>
      <c r="S84" s="311"/>
      <c r="T84" s="306"/>
      <c r="U84" s="310"/>
      <c r="V84" s="311"/>
      <c r="W84" s="306"/>
      <c r="X84" s="310"/>
      <c r="Y84" s="311"/>
      <c r="Z84" s="306"/>
      <c r="AA84" s="310"/>
      <c r="AB84" s="311"/>
      <c r="AC84" s="306"/>
      <c r="AD84" s="310"/>
      <c r="AE84" s="311"/>
      <c r="AF84" s="306"/>
      <c r="AG84" s="310"/>
      <c r="AH84" s="311"/>
      <c r="AI84" s="306"/>
      <c r="AJ84" s="310"/>
      <c r="AK84" s="311"/>
      <c r="AL84" s="306"/>
      <c r="AM84" s="310"/>
      <c r="AN84" s="311"/>
      <c r="AO84" s="306"/>
      <c r="AP84" s="310"/>
      <c r="AQ84" s="311"/>
      <c r="AR84" s="306"/>
      <c r="AS84" s="310"/>
      <c r="AT84" s="311"/>
      <c r="AU84" s="306"/>
      <c r="AV84" s="310"/>
      <c r="AW84" s="311"/>
      <c r="AX84" s="306"/>
      <c r="AY84" s="310"/>
      <c r="AZ84" s="311"/>
      <c r="BA84" s="306"/>
      <c r="BB84" s="310"/>
      <c r="BC84" s="311"/>
      <c r="BD84" s="306"/>
      <c r="BE84" s="312"/>
      <c r="BF84" s="312"/>
      <c r="BG84" s="312"/>
      <c r="BH84" s="312"/>
      <c r="BI84" s="312"/>
      <c r="BJ84" s="312"/>
      <c r="BK84" s="312"/>
      <c r="BL84" s="312"/>
      <c r="BM84" s="312"/>
      <c r="BN84" s="312"/>
      <c r="BO84" s="312"/>
      <c r="BP84" s="312"/>
      <c r="BQ84" s="312"/>
      <c r="BR84" s="312"/>
      <c r="BS84" s="312"/>
      <c r="BT84" s="312"/>
      <c r="BU84" s="312"/>
      <c r="BV84" s="312"/>
      <c r="BW84" s="312"/>
      <c r="BX84" s="312"/>
      <c r="BY84" s="312"/>
      <c r="BZ84" s="312"/>
      <c r="CA84" s="312"/>
      <c r="CB84" s="312"/>
      <c r="CC84" s="312"/>
      <c r="CD84" s="312"/>
      <c r="CE84" s="312"/>
      <c r="CF84" s="312"/>
      <c r="CG84" s="312"/>
      <c r="CH84" s="312"/>
      <c r="CI84" s="312"/>
      <c r="CJ84" s="312"/>
      <c r="CK84" s="312"/>
      <c r="CL84" s="312"/>
      <c r="CM84" s="312"/>
      <c r="CN84" s="312"/>
      <c r="CO84" s="312"/>
      <c r="CP84" s="312"/>
      <c r="CQ84" s="312"/>
      <c r="CR84" s="312"/>
    </row>
    <row r="85" spans="1:96" s="300" customFormat="1" ht="15.75" customHeight="1">
      <c r="A85" s="313"/>
      <c r="B85" s="305" t="s">
        <v>64</v>
      </c>
      <c r="C85" s="311"/>
      <c r="D85" s="311"/>
      <c r="E85" s="306">
        <f t="shared" si="10"/>
        <v>0</v>
      </c>
      <c r="F85" s="310"/>
      <c r="G85" s="311"/>
      <c r="H85" s="306">
        <f t="shared" si="11"/>
        <v>0</v>
      </c>
      <c r="I85" s="310"/>
      <c r="J85" s="311"/>
      <c r="K85" s="306"/>
      <c r="L85" s="310"/>
      <c r="M85" s="311"/>
      <c r="N85" s="306"/>
      <c r="O85" s="310"/>
      <c r="P85" s="311"/>
      <c r="Q85" s="306"/>
      <c r="R85" s="310"/>
      <c r="S85" s="311"/>
      <c r="T85" s="306"/>
      <c r="U85" s="310"/>
      <c r="V85" s="311"/>
      <c r="W85" s="306"/>
      <c r="X85" s="310"/>
      <c r="Y85" s="311"/>
      <c r="Z85" s="306"/>
      <c r="AA85" s="310"/>
      <c r="AB85" s="311"/>
      <c r="AC85" s="306"/>
      <c r="AD85" s="310"/>
      <c r="AE85" s="311"/>
      <c r="AF85" s="306"/>
      <c r="AG85" s="310"/>
      <c r="AH85" s="311"/>
      <c r="AI85" s="306"/>
      <c r="AJ85" s="310"/>
      <c r="AK85" s="311"/>
      <c r="AL85" s="306"/>
      <c r="AM85" s="310"/>
      <c r="AN85" s="311"/>
      <c r="AO85" s="306"/>
      <c r="AP85" s="310"/>
      <c r="AQ85" s="311"/>
      <c r="AR85" s="306"/>
      <c r="AS85" s="310"/>
      <c r="AT85" s="311"/>
      <c r="AU85" s="306"/>
      <c r="AV85" s="310"/>
      <c r="AW85" s="311"/>
      <c r="AX85" s="306"/>
      <c r="AY85" s="310"/>
      <c r="AZ85" s="311"/>
      <c r="BA85" s="306"/>
      <c r="BB85" s="310"/>
      <c r="BC85" s="311"/>
      <c r="BD85" s="306"/>
      <c r="BE85" s="312"/>
      <c r="BF85" s="312"/>
      <c r="BG85" s="312"/>
      <c r="BH85" s="312"/>
      <c r="BI85" s="312"/>
      <c r="BJ85" s="312"/>
      <c r="BK85" s="312"/>
      <c r="BL85" s="312"/>
      <c r="BM85" s="312"/>
      <c r="BN85" s="312"/>
      <c r="BO85" s="312"/>
      <c r="BP85" s="312"/>
      <c r="BQ85" s="312"/>
      <c r="BR85" s="312"/>
      <c r="BS85" s="312"/>
      <c r="BT85" s="312"/>
      <c r="BU85" s="312"/>
      <c r="BV85" s="312"/>
      <c r="BW85" s="312"/>
      <c r="BX85" s="312"/>
      <c r="BY85" s="312"/>
      <c r="BZ85" s="312"/>
      <c r="CA85" s="312"/>
      <c r="CB85" s="312"/>
      <c r="CC85" s="312"/>
      <c r="CD85" s="312"/>
      <c r="CE85" s="312"/>
      <c r="CF85" s="312"/>
      <c r="CG85" s="312"/>
      <c r="CH85" s="312"/>
      <c r="CI85" s="312"/>
      <c r="CJ85" s="312"/>
      <c r="CK85" s="312"/>
      <c r="CL85" s="312"/>
      <c r="CM85" s="312"/>
      <c r="CN85" s="312"/>
      <c r="CO85" s="312"/>
      <c r="CP85" s="312"/>
      <c r="CQ85" s="312"/>
      <c r="CR85" s="312"/>
    </row>
    <row r="86" spans="1:96" s="300" customFormat="1" ht="15.75" customHeight="1" thickBot="1">
      <c r="A86" s="313"/>
      <c r="B86" s="305" t="s">
        <v>970</v>
      </c>
      <c r="C86" s="311">
        <v>1110</v>
      </c>
      <c r="D86" s="311">
        <v>1146</v>
      </c>
      <c r="E86" s="306">
        <f t="shared" si="10"/>
        <v>3.2432432432432434</v>
      </c>
      <c r="F86" s="310">
        <v>2094</v>
      </c>
      <c r="G86" s="311">
        <v>2154</v>
      </c>
      <c r="H86" s="306">
        <f t="shared" si="11"/>
        <v>2.865329512893983</v>
      </c>
      <c r="I86" s="310"/>
      <c r="J86" s="311"/>
      <c r="K86" s="306"/>
      <c r="L86" s="310"/>
      <c r="M86" s="311"/>
      <c r="N86" s="306"/>
      <c r="O86" s="310"/>
      <c r="P86" s="311"/>
      <c r="Q86" s="306"/>
      <c r="R86" s="310"/>
      <c r="S86" s="311"/>
      <c r="T86" s="306"/>
      <c r="U86" s="310"/>
      <c r="V86" s="311"/>
      <c r="W86" s="306"/>
      <c r="X86" s="310"/>
      <c r="Y86" s="311"/>
      <c r="Z86" s="306"/>
      <c r="AA86" s="310"/>
      <c r="AB86" s="311"/>
      <c r="AC86" s="306"/>
      <c r="AD86" s="310"/>
      <c r="AE86" s="311"/>
      <c r="AF86" s="306"/>
      <c r="AG86" s="310"/>
      <c r="AH86" s="311"/>
      <c r="AI86" s="306"/>
      <c r="AJ86" s="310"/>
      <c r="AK86" s="311"/>
      <c r="AL86" s="306"/>
      <c r="AM86" s="310"/>
      <c r="AN86" s="311"/>
      <c r="AO86" s="306"/>
      <c r="AP86" s="310"/>
      <c r="AQ86" s="311"/>
      <c r="AR86" s="306"/>
      <c r="AS86" s="310"/>
      <c r="AT86" s="311"/>
      <c r="AU86" s="306"/>
      <c r="AV86" s="310"/>
      <c r="AW86" s="311"/>
      <c r="AX86" s="306"/>
      <c r="AY86" s="310"/>
      <c r="AZ86" s="311"/>
      <c r="BA86" s="306"/>
      <c r="BB86" s="310"/>
      <c r="BC86" s="311"/>
      <c r="BD86" s="306"/>
      <c r="BE86" s="312"/>
      <c r="BF86" s="312"/>
      <c r="BG86" s="312"/>
      <c r="BH86" s="312"/>
      <c r="BI86" s="312"/>
      <c r="BJ86" s="312"/>
      <c r="BK86" s="312"/>
      <c r="BL86" s="312"/>
      <c r="BM86" s="312"/>
      <c r="BN86" s="312"/>
      <c r="BO86" s="312"/>
      <c r="BP86" s="312"/>
      <c r="BQ86" s="312"/>
      <c r="BR86" s="312"/>
      <c r="BS86" s="312"/>
      <c r="BT86" s="312"/>
      <c r="BU86" s="312"/>
      <c r="BV86" s="312"/>
      <c r="BW86" s="312"/>
      <c r="BX86" s="312"/>
      <c r="BY86" s="312"/>
      <c r="BZ86" s="312"/>
      <c r="CA86" s="312"/>
      <c r="CB86" s="312"/>
      <c r="CC86" s="312"/>
      <c r="CD86" s="312"/>
      <c r="CE86" s="312"/>
      <c r="CF86" s="312"/>
      <c r="CG86" s="312"/>
      <c r="CH86" s="312"/>
      <c r="CI86" s="312"/>
      <c r="CJ86" s="312"/>
      <c r="CK86" s="312"/>
      <c r="CL86" s="312"/>
      <c r="CM86" s="312"/>
      <c r="CN86" s="312"/>
      <c r="CO86" s="312"/>
      <c r="CP86" s="312"/>
      <c r="CQ86" s="312"/>
      <c r="CR86" s="312"/>
    </row>
    <row r="87" spans="1:96" s="321" customFormat="1" ht="15.75" customHeight="1">
      <c r="A87" s="314"/>
      <c r="B87" s="315"/>
      <c r="C87" s="317"/>
      <c r="D87" s="317"/>
      <c r="E87" s="318">
        <f t="shared" si="10"/>
        <v>0</v>
      </c>
      <c r="F87" s="316"/>
      <c r="G87" s="317"/>
      <c r="H87" s="318">
        <f t="shared" si="11"/>
        <v>0</v>
      </c>
      <c r="I87" s="316"/>
      <c r="J87" s="317"/>
      <c r="K87" s="318">
        <f aca="true" t="shared" si="12" ref="K87:K95">IF(I87&gt;0,(((J87-I87)/I87)*100),0)</f>
        <v>0</v>
      </c>
      <c r="L87" s="316"/>
      <c r="M87" s="317"/>
      <c r="N87" s="319">
        <f aca="true" t="shared" si="13" ref="N87:N95">IF(L87&gt;0,(((M87-L87)/L87)*100),0)</f>
        <v>0</v>
      </c>
      <c r="O87" s="336">
        <v>6174</v>
      </c>
      <c r="P87" s="337">
        <v>6988</v>
      </c>
      <c r="Q87" s="338">
        <f>IF(O87&gt;0,(((P87-O87)/O87)*100),0)</f>
        <v>13.184321347586653</v>
      </c>
      <c r="R87" s="316">
        <v>21317</v>
      </c>
      <c r="S87" s="317">
        <v>22638</v>
      </c>
      <c r="T87" s="319">
        <f>IF(R87&gt;0,(((S87-R87)/R87)*100),0)</f>
        <v>6.19693202608247</v>
      </c>
      <c r="U87" s="336">
        <v>10358</v>
      </c>
      <c r="V87" s="337">
        <v>11358</v>
      </c>
      <c r="W87" s="338">
        <f>IF(U87&gt;0,(((V87-U87)/U87)*100),0)</f>
        <v>9.654373431164318</v>
      </c>
      <c r="X87" s="317">
        <v>30562</v>
      </c>
      <c r="Y87" s="317">
        <v>31562</v>
      </c>
      <c r="Z87" s="318">
        <f>IF(X87&gt;0,(((Y87-X87)/X87)*100),0)</f>
        <v>3.2720371703422546</v>
      </c>
      <c r="AA87" s="336">
        <v>7948</v>
      </c>
      <c r="AB87" s="337">
        <v>8948</v>
      </c>
      <c r="AC87" s="338">
        <f>IF(AA87&gt;0,(((AB87-AA87)/AA87)*100),0)</f>
        <v>12.581781580271766</v>
      </c>
      <c r="AD87" s="336">
        <v>30034</v>
      </c>
      <c r="AE87" s="337">
        <v>34034</v>
      </c>
      <c r="AF87" s="338">
        <f>IF(AD87&gt;0,(((AE87-AD87)/AD87)*100),0)</f>
        <v>13.318239328760736</v>
      </c>
      <c r="AG87" s="316">
        <v>7086</v>
      </c>
      <c r="AH87" s="317">
        <v>7680</v>
      </c>
      <c r="AI87" s="318">
        <f>IF(AG87&gt;0,(((AH87-AG87)/AG87)*100),0)</f>
        <v>8.38272650296359</v>
      </c>
      <c r="AJ87" s="316">
        <v>23530</v>
      </c>
      <c r="AK87" s="317">
        <v>24698</v>
      </c>
      <c r="AL87" s="318">
        <f>IF(AJ87&gt;0,(((AK87-AJ87)/AJ87)*100),0)</f>
        <v>4.963875903102422</v>
      </c>
      <c r="AM87" s="316"/>
      <c r="AN87" s="317"/>
      <c r="AO87" s="318"/>
      <c r="AP87" s="316"/>
      <c r="AQ87" s="317"/>
      <c r="AR87" s="318">
        <f>IF(AP87&gt;0,(((AQ87-AP87)/AP87)*100),0)</f>
        <v>0</v>
      </c>
      <c r="AS87" s="316"/>
      <c r="AT87" s="317"/>
      <c r="AU87" s="318"/>
      <c r="AV87" s="316"/>
      <c r="AW87" s="317"/>
      <c r="AX87" s="318"/>
      <c r="AY87" s="316">
        <v>9386</v>
      </c>
      <c r="AZ87" s="317">
        <v>10196</v>
      </c>
      <c r="BA87" s="318">
        <f>IF(AY87&gt;0,(((AZ87-AY87)/AY87)*100),0)</f>
        <v>8.629874280843811</v>
      </c>
      <c r="BB87" s="316"/>
      <c r="BC87" s="317"/>
      <c r="BD87" s="318">
        <f>IF(BB87&gt;0,(((BC87-BB87)/BB87)*100),0)</f>
        <v>0</v>
      </c>
      <c r="BE87" s="320"/>
      <c r="BF87" s="320"/>
      <c r="BG87" s="320"/>
      <c r="BH87" s="320"/>
      <c r="BI87" s="320"/>
      <c r="BJ87" s="320"/>
      <c r="BK87" s="320"/>
      <c r="BL87" s="320"/>
      <c r="BM87" s="320"/>
      <c r="BN87" s="320"/>
      <c r="BO87" s="320"/>
      <c r="BP87" s="320"/>
      <c r="BQ87" s="320"/>
      <c r="BR87" s="320"/>
      <c r="BS87" s="320"/>
      <c r="BT87" s="320"/>
      <c r="BU87" s="320"/>
      <c r="BV87" s="320"/>
      <c r="BW87" s="320"/>
      <c r="BX87" s="320"/>
      <c r="BY87" s="320"/>
      <c r="BZ87" s="320"/>
      <c r="CA87" s="320"/>
      <c r="CB87" s="320"/>
      <c r="CC87" s="320"/>
      <c r="CD87" s="320"/>
      <c r="CE87" s="320"/>
      <c r="CF87" s="320"/>
      <c r="CG87" s="320"/>
      <c r="CH87" s="320"/>
      <c r="CI87" s="320"/>
      <c r="CJ87" s="320"/>
      <c r="CK87" s="320"/>
      <c r="CL87" s="320"/>
      <c r="CM87" s="320"/>
      <c r="CN87" s="320"/>
      <c r="CO87" s="320"/>
      <c r="CP87" s="320"/>
      <c r="CQ87" s="320"/>
      <c r="CR87" s="320"/>
    </row>
    <row r="88" spans="1:96" s="300" customFormat="1" ht="15.75" customHeight="1" thickBot="1">
      <c r="A88" s="304" t="s">
        <v>415</v>
      </c>
      <c r="B88" s="305" t="s">
        <v>665</v>
      </c>
      <c r="C88" s="311">
        <v>4546</v>
      </c>
      <c r="D88" s="311">
        <v>5164</v>
      </c>
      <c r="E88" s="322">
        <f t="shared" si="10"/>
        <v>13.594368675758908</v>
      </c>
      <c r="F88" s="333">
        <v>11226</v>
      </c>
      <c r="G88" s="334">
        <v>11944</v>
      </c>
      <c r="H88" s="335">
        <f t="shared" si="11"/>
        <v>6.395866737929806</v>
      </c>
      <c r="I88" s="311">
        <v>4974</v>
      </c>
      <c r="J88" s="311">
        <v>5652</v>
      </c>
      <c r="K88" s="322">
        <f t="shared" si="12"/>
        <v>13.630880579010856</v>
      </c>
      <c r="L88" s="333">
        <v>12314</v>
      </c>
      <c r="M88" s="334">
        <v>13092</v>
      </c>
      <c r="N88" s="335">
        <f t="shared" si="13"/>
        <v>6.318012018840344</v>
      </c>
      <c r="O88" s="311"/>
      <c r="P88" s="311"/>
      <c r="Q88" s="306"/>
      <c r="R88" s="310"/>
      <c r="S88" s="311"/>
      <c r="T88" s="306"/>
      <c r="U88" s="310"/>
      <c r="V88" s="311"/>
      <c r="W88" s="306"/>
      <c r="X88" s="310"/>
      <c r="Y88" s="311"/>
      <c r="Z88" s="306"/>
      <c r="AA88" s="310"/>
      <c r="AB88" s="311"/>
      <c r="AC88" s="306"/>
      <c r="AD88" s="310"/>
      <c r="AE88" s="311"/>
      <c r="AF88" s="306"/>
      <c r="AG88" s="310"/>
      <c r="AH88" s="311"/>
      <c r="AI88" s="306"/>
      <c r="AJ88" s="310"/>
      <c r="AK88" s="311"/>
      <c r="AL88" s="306"/>
      <c r="AM88" s="310"/>
      <c r="AN88" s="311"/>
      <c r="AO88" s="306"/>
      <c r="AP88" s="310"/>
      <c r="AQ88" s="311"/>
      <c r="AR88" s="306"/>
      <c r="AS88" s="310"/>
      <c r="AT88" s="311"/>
      <c r="AU88" s="306"/>
      <c r="AV88" s="310"/>
      <c r="AW88" s="311"/>
      <c r="AX88" s="306"/>
      <c r="AY88" s="310"/>
      <c r="AZ88" s="311"/>
      <c r="BA88" s="306"/>
      <c r="BB88" s="310"/>
      <c r="BC88" s="311"/>
      <c r="BD88" s="306"/>
      <c r="BE88" s="312"/>
      <c r="BF88" s="312"/>
      <c r="BG88" s="312"/>
      <c r="BH88" s="312"/>
      <c r="BI88" s="312"/>
      <c r="BJ88" s="312"/>
      <c r="BK88" s="312"/>
      <c r="BL88" s="312"/>
      <c r="BM88" s="312"/>
      <c r="BN88" s="312"/>
      <c r="BO88" s="312"/>
      <c r="BP88" s="312"/>
      <c r="BQ88" s="312"/>
      <c r="BR88" s="312"/>
      <c r="BS88" s="312"/>
      <c r="BT88" s="312"/>
      <c r="BU88" s="312"/>
      <c r="BV88" s="312"/>
      <c r="BW88" s="312"/>
      <c r="BX88" s="312"/>
      <c r="BY88" s="312"/>
      <c r="BZ88" s="312"/>
      <c r="CA88" s="312"/>
      <c r="CB88" s="312"/>
      <c r="CC88" s="312"/>
      <c r="CD88" s="312"/>
      <c r="CE88" s="312"/>
      <c r="CF88" s="312"/>
      <c r="CG88" s="312"/>
      <c r="CH88" s="312"/>
      <c r="CI88" s="312"/>
      <c r="CJ88" s="312"/>
      <c r="CK88" s="312"/>
      <c r="CL88" s="312"/>
      <c r="CM88" s="312"/>
      <c r="CN88" s="312"/>
      <c r="CO88" s="312"/>
      <c r="CP88" s="312"/>
      <c r="CQ88" s="312"/>
      <c r="CR88" s="312"/>
    </row>
    <row r="89" spans="1:96" s="300" customFormat="1" ht="15.75" customHeight="1">
      <c r="A89" s="313"/>
      <c r="B89" s="305" t="s">
        <v>666</v>
      </c>
      <c r="C89" s="311">
        <v>4450</v>
      </c>
      <c r="D89" s="311">
        <v>5040</v>
      </c>
      <c r="E89" s="306">
        <f t="shared" si="10"/>
        <v>13.258426966292136</v>
      </c>
      <c r="F89" s="310">
        <v>12166</v>
      </c>
      <c r="G89" s="311">
        <v>13752</v>
      </c>
      <c r="H89" s="306">
        <f t="shared" si="11"/>
        <v>13.036330757849745</v>
      </c>
      <c r="I89" s="310">
        <v>4842</v>
      </c>
      <c r="J89" s="311">
        <v>5472</v>
      </c>
      <c r="K89" s="306">
        <f t="shared" si="12"/>
        <v>13.011152416356877</v>
      </c>
      <c r="L89" s="310">
        <v>13338</v>
      </c>
      <c r="M89" s="311">
        <v>15084</v>
      </c>
      <c r="N89" s="306">
        <f t="shared" si="13"/>
        <v>13.090418353576247</v>
      </c>
      <c r="O89" s="310"/>
      <c r="P89" s="311"/>
      <c r="Q89" s="306"/>
      <c r="R89" s="310"/>
      <c r="S89" s="311"/>
      <c r="T89" s="306"/>
      <c r="U89" s="310"/>
      <c r="V89" s="311"/>
      <c r="W89" s="306"/>
      <c r="X89" s="310"/>
      <c r="Y89" s="311"/>
      <c r="Z89" s="306"/>
      <c r="AA89" s="310"/>
      <c r="AB89" s="311"/>
      <c r="AC89" s="306"/>
      <c r="AD89" s="310"/>
      <c r="AE89" s="311"/>
      <c r="AF89" s="306"/>
      <c r="AG89" s="310"/>
      <c r="AH89" s="311"/>
      <c r="AI89" s="306"/>
      <c r="AJ89" s="310"/>
      <c r="AK89" s="311"/>
      <c r="AL89" s="306"/>
      <c r="AM89" s="310"/>
      <c r="AN89" s="311"/>
      <c r="AO89" s="306"/>
      <c r="AP89" s="310"/>
      <c r="AQ89" s="311"/>
      <c r="AR89" s="306"/>
      <c r="AS89" s="310"/>
      <c r="AT89" s="311"/>
      <c r="AU89" s="306"/>
      <c r="AV89" s="310"/>
      <c r="AW89" s="311"/>
      <c r="AX89" s="306"/>
      <c r="AY89" s="310"/>
      <c r="AZ89" s="311"/>
      <c r="BA89" s="306"/>
      <c r="BB89" s="310"/>
      <c r="BC89" s="311"/>
      <c r="BD89" s="306"/>
      <c r="BE89" s="312"/>
      <c r="BF89" s="312"/>
      <c r="BG89" s="312"/>
      <c r="BH89" s="312"/>
      <c r="BI89" s="312"/>
      <c r="BJ89" s="312"/>
      <c r="BK89" s="312"/>
      <c r="BL89" s="312"/>
      <c r="BM89" s="312"/>
      <c r="BN89" s="312"/>
      <c r="BO89" s="312"/>
      <c r="BP89" s="312"/>
      <c r="BQ89" s="312"/>
      <c r="BR89" s="312"/>
      <c r="BS89" s="312"/>
      <c r="BT89" s="312"/>
      <c r="BU89" s="312"/>
      <c r="BV89" s="312"/>
      <c r="BW89" s="312"/>
      <c r="BX89" s="312"/>
      <c r="BY89" s="312"/>
      <c r="BZ89" s="312"/>
      <c r="CA89" s="312"/>
      <c r="CB89" s="312"/>
      <c r="CC89" s="312"/>
      <c r="CD89" s="312"/>
      <c r="CE89" s="312"/>
      <c r="CF89" s="312"/>
      <c r="CG89" s="312"/>
      <c r="CH89" s="312"/>
      <c r="CI89" s="312"/>
      <c r="CJ89" s="312"/>
      <c r="CK89" s="312"/>
      <c r="CL89" s="312"/>
      <c r="CM89" s="312"/>
      <c r="CN89" s="312"/>
      <c r="CO89" s="312"/>
      <c r="CP89" s="312"/>
      <c r="CQ89" s="312"/>
      <c r="CR89" s="312"/>
    </row>
    <row r="90" spans="1:96" s="300" customFormat="1" ht="15.75" customHeight="1" thickBot="1">
      <c r="A90" s="313"/>
      <c r="B90" s="305" t="s">
        <v>667</v>
      </c>
      <c r="C90" s="311">
        <v>3436</v>
      </c>
      <c r="D90" s="311">
        <v>3984</v>
      </c>
      <c r="E90" s="306">
        <f t="shared" si="10"/>
        <v>15.948777648428406</v>
      </c>
      <c r="F90" s="310">
        <v>8890</v>
      </c>
      <c r="G90" s="311">
        <v>10836</v>
      </c>
      <c r="H90" s="306">
        <f t="shared" si="11"/>
        <v>21.88976377952756</v>
      </c>
      <c r="I90" s="310">
        <v>3726</v>
      </c>
      <c r="J90" s="311">
        <v>4186</v>
      </c>
      <c r="K90" s="306">
        <f t="shared" si="12"/>
        <v>12.345679012345679</v>
      </c>
      <c r="L90" s="310">
        <v>9612</v>
      </c>
      <c r="M90" s="311">
        <v>11340</v>
      </c>
      <c r="N90" s="306">
        <f t="shared" si="13"/>
        <v>17.97752808988764</v>
      </c>
      <c r="O90" s="310"/>
      <c r="P90" s="311"/>
      <c r="Q90" s="306"/>
      <c r="R90" s="310"/>
      <c r="S90" s="311"/>
      <c r="T90" s="306"/>
      <c r="U90" s="310"/>
      <c r="V90" s="311"/>
      <c r="W90" s="306"/>
      <c r="X90" s="310"/>
      <c r="Y90" s="311"/>
      <c r="Z90" s="306"/>
      <c r="AA90" s="310"/>
      <c r="AB90" s="311"/>
      <c r="AC90" s="306"/>
      <c r="AD90" s="310"/>
      <c r="AE90" s="311"/>
      <c r="AF90" s="306"/>
      <c r="AG90" s="310"/>
      <c r="AH90" s="311"/>
      <c r="AI90" s="306"/>
      <c r="AJ90" s="310"/>
      <c r="AK90" s="311"/>
      <c r="AL90" s="306"/>
      <c r="AM90" s="310"/>
      <c r="AN90" s="311"/>
      <c r="AO90" s="306"/>
      <c r="AP90" s="310"/>
      <c r="AQ90" s="311"/>
      <c r="AR90" s="306"/>
      <c r="AS90" s="310"/>
      <c r="AT90" s="311"/>
      <c r="AU90" s="306"/>
      <c r="AV90" s="310"/>
      <c r="AW90" s="311"/>
      <c r="AX90" s="306"/>
      <c r="AY90" s="310"/>
      <c r="AZ90" s="311"/>
      <c r="BA90" s="306"/>
      <c r="BB90" s="310"/>
      <c r="BC90" s="311"/>
      <c r="BD90" s="306"/>
      <c r="BE90" s="312"/>
      <c r="BF90" s="312"/>
      <c r="BG90" s="312"/>
      <c r="BH90" s="312"/>
      <c r="BI90" s="312"/>
      <c r="BJ90" s="312"/>
      <c r="BK90" s="312"/>
      <c r="BL90" s="312"/>
      <c r="BM90" s="312"/>
      <c r="BN90" s="312"/>
      <c r="BO90" s="312"/>
      <c r="BP90" s="312"/>
      <c r="BQ90" s="312"/>
      <c r="BR90" s="312"/>
      <c r="BS90" s="312"/>
      <c r="BT90" s="312"/>
      <c r="BU90" s="312"/>
      <c r="BV90" s="312"/>
      <c r="BW90" s="312"/>
      <c r="BX90" s="312"/>
      <c r="BY90" s="312"/>
      <c r="BZ90" s="312"/>
      <c r="CA90" s="312"/>
      <c r="CB90" s="312"/>
      <c r="CC90" s="312"/>
      <c r="CD90" s="312"/>
      <c r="CE90" s="312"/>
      <c r="CF90" s="312"/>
      <c r="CG90" s="312"/>
      <c r="CH90" s="312"/>
      <c r="CI90" s="312"/>
      <c r="CJ90" s="312"/>
      <c r="CK90" s="312"/>
      <c r="CL90" s="312"/>
      <c r="CM90" s="312"/>
      <c r="CN90" s="312"/>
      <c r="CO90" s="312"/>
      <c r="CP90" s="312"/>
      <c r="CQ90" s="312"/>
      <c r="CR90" s="312"/>
    </row>
    <row r="91" spans="1:96" s="300" customFormat="1" ht="15.75" customHeight="1" thickBot="1">
      <c r="A91" s="313"/>
      <c r="B91" s="305" t="s">
        <v>668</v>
      </c>
      <c r="C91" s="311">
        <v>3554</v>
      </c>
      <c r="D91" s="311">
        <v>4104</v>
      </c>
      <c r="E91" s="306">
        <f t="shared" si="10"/>
        <v>15.475520540236353</v>
      </c>
      <c r="F91" s="310">
        <v>8470</v>
      </c>
      <c r="G91" s="311">
        <v>9648</v>
      </c>
      <c r="H91" s="322">
        <f t="shared" si="11"/>
        <v>13.907910271546637</v>
      </c>
      <c r="I91" s="307">
        <v>4631</v>
      </c>
      <c r="J91" s="308">
        <v>4900</v>
      </c>
      <c r="K91" s="309">
        <f t="shared" si="12"/>
        <v>5.808680630533362</v>
      </c>
      <c r="L91" s="307">
        <v>10969</v>
      </c>
      <c r="M91" s="308">
        <v>11750</v>
      </c>
      <c r="N91" s="309">
        <f t="shared" si="13"/>
        <v>7.120065639529584</v>
      </c>
      <c r="O91" s="311"/>
      <c r="P91" s="311"/>
      <c r="Q91" s="306"/>
      <c r="R91" s="311"/>
      <c r="S91" s="311"/>
      <c r="T91" s="306"/>
      <c r="U91" s="311"/>
      <c r="V91" s="311"/>
      <c r="W91" s="306"/>
      <c r="X91" s="311"/>
      <c r="Y91" s="311"/>
      <c r="Z91" s="306"/>
      <c r="AA91" s="311"/>
      <c r="AB91" s="311"/>
      <c r="AC91" s="306"/>
      <c r="AD91" s="311"/>
      <c r="AE91" s="311"/>
      <c r="AF91" s="306"/>
      <c r="AG91" s="311"/>
      <c r="AH91" s="311"/>
      <c r="AI91" s="306"/>
      <c r="AJ91" s="311"/>
      <c r="AK91" s="311"/>
      <c r="AL91" s="306"/>
      <c r="AM91" s="311"/>
      <c r="AN91" s="311"/>
      <c r="AO91" s="306"/>
      <c r="AP91" s="311"/>
      <c r="AQ91" s="311"/>
      <c r="AR91" s="306"/>
      <c r="AS91" s="311"/>
      <c r="AT91" s="311"/>
      <c r="AU91" s="306"/>
      <c r="AV91" s="311"/>
      <c r="AW91" s="311"/>
      <c r="AX91" s="306"/>
      <c r="AY91" s="311"/>
      <c r="AZ91" s="311"/>
      <c r="BA91" s="306"/>
      <c r="BB91" s="311"/>
      <c r="BC91" s="311"/>
      <c r="BD91" s="306"/>
      <c r="BE91" s="312"/>
      <c r="BF91" s="312"/>
      <c r="BG91" s="312"/>
      <c r="BH91" s="312"/>
      <c r="BI91" s="312"/>
      <c r="BJ91" s="312"/>
      <c r="BK91" s="312"/>
      <c r="BL91" s="312"/>
      <c r="BM91" s="312"/>
      <c r="BN91" s="312"/>
      <c r="BO91" s="312"/>
      <c r="BP91" s="312"/>
      <c r="BQ91" s="312"/>
      <c r="BR91" s="312"/>
      <c r="BS91" s="312"/>
      <c r="BT91" s="312"/>
      <c r="BU91" s="312"/>
      <c r="BV91" s="312"/>
      <c r="BW91" s="312"/>
      <c r="BX91" s="312"/>
      <c r="BY91" s="312"/>
      <c r="BZ91" s="312"/>
      <c r="CA91" s="312"/>
      <c r="CB91" s="312"/>
      <c r="CC91" s="312"/>
      <c r="CD91" s="312"/>
      <c r="CE91" s="312"/>
      <c r="CF91" s="312"/>
      <c r="CG91" s="312"/>
      <c r="CH91" s="312"/>
      <c r="CI91" s="312"/>
      <c r="CJ91" s="312"/>
      <c r="CK91" s="312"/>
      <c r="CL91" s="312"/>
      <c r="CM91" s="312"/>
      <c r="CN91" s="312"/>
      <c r="CO91" s="312"/>
      <c r="CP91" s="312"/>
      <c r="CQ91" s="312"/>
      <c r="CR91" s="312"/>
    </row>
    <row r="92" spans="1:96" s="300" customFormat="1" ht="15.75" customHeight="1" thickBot="1">
      <c r="A92" s="313"/>
      <c r="B92" s="305" t="s">
        <v>669</v>
      </c>
      <c r="C92" s="311">
        <v>3370</v>
      </c>
      <c r="D92" s="311">
        <v>3834</v>
      </c>
      <c r="E92" s="322">
        <f t="shared" si="10"/>
        <v>13.768545994065281</v>
      </c>
      <c r="F92" s="307">
        <v>9014</v>
      </c>
      <c r="G92" s="308">
        <v>9350</v>
      </c>
      <c r="H92" s="309">
        <f t="shared" si="11"/>
        <v>3.727534945640115</v>
      </c>
      <c r="I92" s="311">
        <v>3638</v>
      </c>
      <c r="J92" s="311">
        <v>4002</v>
      </c>
      <c r="K92" s="306">
        <f t="shared" si="12"/>
        <v>10.005497526113249</v>
      </c>
      <c r="L92" s="310">
        <v>9222</v>
      </c>
      <c r="M92" s="311">
        <v>10238</v>
      </c>
      <c r="N92" s="306">
        <f t="shared" si="13"/>
        <v>11.01713294296248</v>
      </c>
      <c r="O92" s="310"/>
      <c r="P92" s="311"/>
      <c r="Q92" s="306"/>
      <c r="R92" s="310"/>
      <c r="S92" s="311"/>
      <c r="T92" s="306"/>
      <c r="U92" s="310"/>
      <c r="V92" s="311"/>
      <c r="W92" s="306"/>
      <c r="X92" s="310"/>
      <c r="Y92" s="311"/>
      <c r="Z92" s="306"/>
      <c r="AA92" s="310"/>
      <c r="AB92" s="311"/>
      <c r="AC92" s="306"/>
      <c r="AD92" s="310"/>
      <c r="AE92" s="311"/>
      <c r="AF92" s="306"/>
      <c r="AG92" s="310"/>
      <c r="AH92" s="311"/>
      <c r="AI92" s="306"/>
      <c r="AJ92" s="310"/>
      <c r="AK92" s="311"/>
      <c r="AL92" s="306"/>
      <c r="AM92" s="310"/>
      <c r="AN92" s="311"/>
      <c r="AO92" s="306"/>
      <c r="AP92" s="310"/>
      <c r="AQ92" s="311"/>
      <c r="AR92" s="306"/>
      <c r="AS92" s="310"/>
      <c r="AT92" s="311"/>
      <c r="AU92" s="306"/>
      <c r="AV92" s="310"/>
      <c r="AW92" s="311"/>
      <c r="AX92" s="306"/>
      <c r="AY92" s="310"/>
      <c r="AZ92" s="311"/>
      <c r="BA92" s="306"/>
      <c r="BB92" s="310"/>
      <c r="BC92" s="311"/>
      <c r="BD92" s="306"/>
      <c r="BE92" s="312"/>
      <c r="BF92" s="312"/>
      <c r="BG92" s="312"/>
      <c r="BH92" s="312"/>
      <c r="BI92" s="312"/>
      <c r="BJ92" s="312"/>
      <c r="BK92" s="312"/>
      <c r="BL92" s="312"/>
      <c r="BM92" s="312"/>
      <c r="BN92" s="312"/>
      <c r="BO92" s="312"/>
      <c r="BP92" s="312"/>
      <c r="BQ92" s="312"/>
      <c r="BR92" s="312"/>
      <c r="BS92" s="312"/>
      <c r="BT92" s="312"/>
      <c r="BU92" s="312"/>
      <c r="BV92" s="312"/>
      <c r="BW92" s="312"/>
      <c r="BX92" s="312"/>
      <c r="BY92" s="312"/>
      <c r="BZ92" s="312"/>
      <c r="CA92" s="312"/>
      <c r="CB92" s="312"/>
      <c r="CC92" s="312"/>
      <c r="CD92" s="312"/>
      <c r="CE92" s="312"/>
      <c r="CF92" s="312"/>
      <c r="CG92" s="312"/>
      <c r="CH92" s="312"/>
      <c r="CI92" s="312"/>
      <c r="CJ92" s="312"/>
      <c r="CK92" s="312"/>
      <c r="CL92" s="312"/>
      <c r="CM92" s="312"/>
      <c r="CN92" s="312"/>
      <c r="CO92" s="312"/>
      <c r="CP92" s="312"/>
      <c r="CQ92" s="312"/>
      <c r="CR92" s="312"/>
    </row>
    <row r="93" spans="1:96" s="300" customFormat="1" ht="15.75" customHeight="1" thickBot="1">
      <c r="A93" s="313"/>
      <c r="B93" s="305" t="s">
        <v>670</v>
      </c>
      <c r="C93" s="311"/>
      <c r="D93" s="311"/>
      <c r="E93" s="306">
        <f t="shared" si="10"/>
        <v>0</v>
      </c>
      <c r="F93" s="310"/>
      <c r="G93" s="311"/>
      <c r="H93" s="306">
        <f t="shared" si="11"/>
        <v>0</v>
      </c>
      <c r="I93" s="310"/>
      <c r="J93" s="311"/>
      <c r="K93" s="306">
        <f t="shared" si="12"/>
        <v>0</v>
      </c>
      <c r="L93" s="310"/>
      <c r="M93" s="311"/>
      <c r="N93" s="306">
        <f t="shared" si="13"/>
        <v>0</v>
      </c>
      <c r="O93" s="311"/>
      <c r="P93" s="311"/>
      <c r="Q93" s="306"/>
      <c r="R93" s="311"/>
      <c r="S93" s="311"/>
      <c r="T93" s="306"/>
      <c r="U93" s="311"/>
      <c r="V93" s="311"/>
      <c r="W93" s="306"/>
      <c r="X93" s="311"/>
      <c r="Y93" s="311"/>
      <c r="Z93" s="306"/>
      <c r="AA93" s="311"/>
      <c r="AB93" s="311"/>
      <c r="AC93" s="306"/>
      <c r="AD93" s="311"/>
      <c r="AE93" s="311"/>
      <c r="AF93" s="306"/>
      <c r="AG93" s="311"/>
      <c r="AH93" s="311"/>
      <c r="AI93" s="306"/>
      <c r="AJ93" s="311"/>
      <c r="AK93" s="311"/>
      <c r="AL93" s="306"/>
      <c r="AM93" s="311"/>
      <c r="AN93" s="311"/>
      <c r="AO93" s="306"/>
      <c r="AP93" s="311"/>
      <c r="AQ93" s="311"/>
      <c r="AR93" s="306"/>
      <c r="AS93" s="311"/>
      <c r="AT93" s="311"/>
      <c r="AU93" s="306"/>
      <c r="AV93" s="311"/>
      <c r="AW93" s="311"/>
      <c r="AX93" s="306"/>
      <c r="AY93" s="311"/>
      <c r="AZ93" s="311"/>
      <c r="BA93" s="306"/>
      <c r="BB93" s="311"/>
      <c r="BC93" s="311"/>
      <c r="BD93" s="306"/>
      <c r="BE93" s="312"/>
      <c r="BF93" s="312"/>
      <c r="BG93" s="312"/>
      <c r="BH93" s="312"/>
      <c r="BI93" s="312"/>
      <c r="BJ93" s="312"/>
      <c r="BK93" s="312"/>
      <c r="BL93" s="312"/>
      <c r="BM93" s="312"/>
      <c r="BN93" s="312"/>
      <c r="BO93" s="312"/>
      <c r="BP93" s="312"/>
      <c r="BQ93" s="312"/>
      <c r="BR93" s="312"/>
      <c r="BS93" s="312"/>
      <c r="BT93" s="312"/>
      <c r="BU93" s="312"/>
      <c r="BV93" s="312"/>
      <c r="BW93" s="312"/>
      <c r="BX93" s="312"/>
      <c r="BY93" s="312"/>
      <c r="BZ93" s="312"/>
      <c r="CA93" s="312"/>
      <c r="CB93" s="312"/>
      <c r="CC93" s="312"/>
      <c r="CD93" s="312"/>
      <c r="CE93" s="312"/>
      <c r="CF93" s="312"/>
      <c r="CG93" s="312"/>
      <c r="CH93" s="312"/>
      <c r="CI93" s="312"/>
      <c r="CJ93" s="312"/>
      <c r="CK93" s="312"/>
      <c r="CL93" s="312"/>
      <c r="CM93" s="312"/>
      <c r="CN93" s="312"/>
      <c r="CO93" s="312"/>
      <c r="CP93" s="312"/>
      <c r="CQ93" s="312"/>
      <c r="CR93" s="312"/>
    </row>
    <row r="94" spans="1:96" s="300" customFormat="1" ht="15.75" customHeight="1" thickBot="1">
      <c r="A94" s="313"/>
      <c r="B94" s="305" t="s">
        <v>1041</v>
      </c>
      <c r="C94" s="311">
        <v>3590</v>
      </c>
      <c r="D94" s="311">
        <v>4176</v>
      </c>
      <c r="E94" s="306">
        <f t="shared" si="10"/>
        <v>16.323119777158773</v>
      </c>
      <c r="F94" s="310">
        <v>8981</v>
      </c>
      <c r="G94" s="311">
        <v>10650</v>
      </c>
      <c r="H94" s="322">
        <f t="shared" si="11"/>
        <v>18.583676650707048</v>
      </c>
      <c r="I94" s="307">
        <v>4310</v>
      </c>
      <c r="J94" s="308">
        <v>4608</v>
      </c>
      <c r="K94" s="309">
        <f t="shared" si="12"/>
        <v>6.914153132250581</v>
      </c>
      <c r="L94" s="311">
        <v>10270</v>
      </c>
      <c r="M94" s="311">
        <v>11520</v>
      </c>
      <c r="N94" s="306">
        <f t="shared" si="13"/>
        <v>12.171372930866601</v>
      </c>
      <c r="O94" s="310"/>
      <c r="P94" s="311"/>
      <c r="Q94" s="306"/>
      <c r="R94" s="310"/>
      <c r="S94" s="311"/>
      <c r="T94" s="306"/>
      <c r="U94" s="310"/>
      <c r="V94" s="311"/>
      <c r="W94" s="306"/>
      <c r="X94" s="310"/>
      <c r="Y94" s="311"/>
      <c r="Z94" s="306"/>
      <c r="AA94" s="310"/>
      <c r="AB94" s="311"/>
      <c r="AC94" s="306"/>
      <c r="AD94" s="310"/>
      <c r="AE94" s="311"/>
      <c r="AF94" s="306"/>
      <c r="AG94" s="310"/>
      <c r="AH94" s="311"/>
      <c r="AI94" s="306"/>
      <c r="AJ94" s="310"/>
      <c r="AK94" s="311"/>
      <c r="AL94" s="306"/>
      <c r="AM94" s="310"/>
      <c r="AN94" s="311"/>
      <c r="AO94" s="306"/>
      <c r="AP94" s="310"/>
      <c r="AQ94" s="311"/>
      <c r="AR94" s="306"/>
      <c r="AS94" s="310"/>
      <c r="AT94" s="311"/>
      <c r="AU94" s="306"/>
      <c r="AV94" s="310"/>
      <c r="AW94" s="311"/>
      <c r="AX94" s="306"/>
      <c r="AY94" s="310"/>
      <c r="AZ94" s="311"/>
      <c r="BA94" s="306"/>
      <c r="BB94" s="310"/>
      <c r="BC94" s="311"/>
      <c r="BD94" s="306"/>
      <c r="BE94" s="312"/>
      <c r="BF94" s="312"/>
      <c r="BG94" s="312"/>
      <c r="BH94" s="312"/>
      <c r="BI94" s="312"/>
      <c r="BJ94" s="312"/>
      <c r="BK94" s="312"/>
      <c r="BL94" s="312"/>
      <c r="BM94" s="312"/>
      <c r="BN94" s="312"/>
      <c r="BO94" s="312"/>
      <c r="BP94" s="312"/>
      <c r="BQ94" s="312"/>
      <c r="BR94" s="312"/>
      <c r="BS94" s="312"/>
      <c r="BT94" s="312"/>
      <c r="BU94" s="312"/>
      <c r="BV94" s="312"/>
      <c r="BW94" s="312"/>
      <c r="BX94" s="312"/>
      <c r="BY94" s="312"/>
      <c r="BZ94" s="312"/>
      <c r="CA94" s="312"/>
      <c r="CB94" s="312"/>
      <c r="CC94" s="312"/>
      <c r="CD94" s="312"/>
      <c r="CE94" s="312"/>
      <c r="CF94" s="312"/>
      <c r="CG94" s="312"/>
      <c r="CH94" s="312"/>
      <c r="CI94" s="312"/>
      <c r="CJ94" s="312"/>
      <c r="CK94" s="312"/>
      <c r="CL94" s="312"/>
      <c r="CM94" s="312"/>
      <c r="CN94" s="312"/>
      <c r="CO94" s="312"/>
      <c r="CP94" s="312"/>
      <c r="CQ94" s="312"/>
      <c r="CR94" s="312"/>
    </row>
    <row r="95" spans="1:96" s="300" customFormat="1" ht="15.75" customHeight="1">
      <c r="A95" s="313"/>
      <c r="B95" s="305" t="s">
        <v>671</v>
      </c>
      <c r="C95" s="311"/>
      <c r="D95" s="311"/>
      <c r="E95" s="306">
        <f t="shared" si="10"/>
        <v>0</v>
      </c>
      <c r="F95" s="310"/>
      <c r="G95" s="311"/>
      <c r="H95" s="306">
        <f t="shared" si="11"/>
        <v>0</v>
      </c>
      <c r="I95" s="310"/>
      <c r="J95" s="311"/>
      <c r="K95" s="306">
        <f t="shared" si="12"/>
        <v>0</v>
      </c>
      <c r="L95" s="310"/>
      <c r="M95" s="311"/>
      <c r="N95" s="306">
        <f t="shared" si="13"/>
        <v>0</v>
      </c>
      <c r="O95" s="310"/>
      <c r="P95" s="311"/>
      <c r="Q95" s="306"/>
      <c r="R95" s="310"/>
      <c r="S95" s="311"/>
      <c r="T95" s="306"/>
      <c r="U95" s="310"/>
      <c r="V95" s="311"/>
      <c r="W95" s="306"/>
      <c r="X95" s="310"/>
      <c r="Y95" s="311"/>
      <c r="Z95" s="306"/>
      <c r="AA95" s="310"/>
      <c r="AB95" s="311"/>
      <c r="AC95" s="306"/>
      <c r="AD95" s="310"/>
      <c r="AE95" s="311"/>
      <c r="AF95" s="306"/>
      <c r="AG95" s="310"/>
      <c r="AH95" s="311"/>
      <c r="AI95" s="306"/>
      <c r="AJ95" s="310"/>
      <c r="AK95" s="311"/>
      <c r="AL95" s="306"/>
      <c r="AM95" s="310"/>
      <c r="AN95" s="311"/>
      <c r="AO95" s="306"/>
      <c r="AP95" s="310"/>
      <c r="AQ95" s="311"/>
      <c r="AR95" s="306"/>
      <c r="AS95" s="310"/>
      <c r="AT95" s="311"/>
      <c r="AU95" s="306"/>
      <c r="AV95" s="310"/>
      <c r="AW95" s="311"/>
      <c r="AX95" s="306"/>
      <c r="AY95" s="310"/>
      <c r="AZ95" s="311"/>
      <c r="BA95" s="306"/>
      <c r="BB95" s="310"/>
      <c r="BC95" s="311"/>
      <c r="BD95" s="306"/>
      <c r="BE95" s="312"/>
      <c r="BF95" s="312"/>
      <c r="BG95" s="312"/>
      <c r="BH95" s="312"/>
      <c r="BI95" s="312"/>
      <c r="BJ95" s="312"/>
      <c r="BK95" s="312"/>
      <c r="BL95" s="312"/>
      <c r="BM95" s="312"/>
      <c r="BN95" s="312"/>
      <c r="BO95" s="312"/>
      <c r="BP95" s="312"/>
      <c r="BQ95" s="312"/>
      <c r="BR95" s="312"/>
      <c r="BS95" s="312"/>
      <c r="BT95" s="312"/>
      <c r="BU95" s="312"/>
      <c r="BV95" s="312"/>
      <c r="BW95" s="312"/>
      <c r="BX95" s="312"/>
      <c r="BY95" s="312"/>
      <c r="BZ95" s="312"/>
      <c r="CA95" s="312"/>
      <c r="CB95" s="312"/>
      <c r="CC95" s="312"/>
      <c r="CD95" s="312"/>
      <c r="CE95" s="312"/>
      <c r="CF95" s="312"/>
      <c r="CG95" s="312"/>
      <c r="CH95" s="312"/>
      <c r="CI95" s="312"/>
      <c r="CJ95" s="312"/>
      <c r="CK95" s="312"/>
      <c r="CL95" s="312"/>
      <c r="CM95" s="312"/>
      <c r="CN95" s="312"/>
      <c r="CO95" s="312"/>
      <c r="CP95" s="312"/>
      <c r="CQ95" s="312"/>
      <c r="CR95" s="312"/>
    </row>
    <row r="96" spans="1:96" s="300" customFormat="1" ht="15.75" customHeight="1">
      <c r="A96" s="313"/>
      <c r="B96" s="305" t="s">
        <v>672</v>
      </c>
      <c r="C96" s="311">
        <v>2370</v>
      </c>
      <c r="D96" s="311">
        <v>2760</v>
      </c>
      <c r="E96" s="306">
        <f t="shared" si="10"/>
        <v>16.455696202531644</v>
      </c>
      <c r="F96" s="310">
        <v>7110</v>
      </c>
      <c r="G96" s="311">
        <v>8280</v>
      </c>
      <c r="H96" s="306">
        <f t="shared" si="11"/>
        <v>16.455696202531644</v>
      </c>
      <c r="I96" s="310"/>
      <c r="J96" s="311"/>
      <c r="K96" s="306"/>
      <c r="L96" s="310"/>
      <c r="M96" s="311"/>
      <c r="N96" s="306"/>
      <c r="O96" s="310"/>
      <c r="P96" s="311"/>
      <c r="Q96" s="306"/>
      <c r="R96" s="310"/>
      <c r="S96" s="311"/>
      <c r="T96" s="306"/>
      <c r="U96" s="310"/>
      <c r="V96" s="311"/>
      <c r="W96" s="306"/>
      <c r="X96" s="310"/>
      <c r="Y96" s="311"/>
      <c r="Z96" s="306"/>
      <c r="AA96" s="310"/>
      <c r="AB96" s="311"/>
      <c r="AC96" s="306"/>
      <c r="AD96" s="310"/>
      <c r="AE96" s="311"/>
      <c r="AF96" s="306"/>
      <c r="AG96" s="310"/>
      <c r="AH96" s="311"/>
      <c r="AI96" s="306"/>
      <c r="AJ96" s="310"/>
      <c r="AK96" s="311"/>
      <c r="AL96" s="306"/>
      <c r="AM96" s="310"/>
      <c r="AN96" s="311"/>
      <c r="AO96" s="306"/>
      <c r="AP96" s="310"/>
      <c r="AQ96" s="311"/>
      <c r="AR96" s="306"/>
      <c r="AS96" s="310"/>
      <c r="AT96" s="311"/>
      <c r="AU96" s="306"/>
      <c r="AV96" s="310"/>
      <c r="AW96" s="311"/>
      <c r="AX96" s="306"/>
      <c r="AY96" s="310"/>
      <c r="AZ96" s="311"/>
      <c r="BA96" s="306"/>
      <c r="BB96" s="310"/>
      <c r="BC96" s="311"/>
      <c r="BD96" s="306"/>
      <c r="BE96" s="312"/>
      <c r="BF96" s="312"/>
      <c r="BG96" s="312"/>
      <c r="BH96" s="312"/>
      <c r="BI96" s="312"/>
      <c r="BJ96" s="312"/>
      <c r="BK96" s="312"/>
      <c r="BL96" s="312"/>
      <c r="BM96" s="312"/>
      <c r="BN96" s="312"/>
      <c r="BO96" s="312"/>
      <c r="BP96" s="312"/>
      <c r="BQ96" s="312"/>
      <c r="BR96" s="312"/>
      <c r="BS96" s="312"/>
      <c r="BT96" s="312"/>
      <c r="BU96" s="312"/>
      <c r="BV96" s="312"/>
      <c r="BW96" s="312"/>
      <c r="BX96" s="312"/>
      <c r="BY96" s="312"/>
      <c r="BZ96" s="312"/>
      <c r="CA96" s="312"/>
      <c r="CB96" s="312"/>
      <c r="CC96" s="312"/>
      <c r="CD96" s="312"/>
      <c r="CE96" s="312"/>
      <c r="CF96" s="312"/>
      <c r="CG96" s="312"/>
      <c r="CH96" s="312"/>
      <c r="CI96" s="312"/>
      <c r="CJ96" s="312"/>
      <c r="CK96" s="312"/>
      <c r="CL96" s="312"/>
      <c r="CM96" s="312"/>
      <c r="CN96" s="312"/>
      <c r="CO96" s="312"/>
      <c r="CP96" s="312"/>
      <c r="CQ96" s="312"/>
      <c r="CR96" s="312"/>
    </row>
    <row r="97" spans="1:96" s="300" customFormat="1" ht="15.75" customHeight="1">
      <c r="A97" s="313"/>
      <c r="B97" s="305" t="s">
        <v>673</v>
      </c>
      <c r="C97" s="311">
        <v>2370</v>
      </c>
      <c r="D97" s="311">
        <v>2760</v>
      </c>
      <c r="E97" s="306">
        <f t="shared" si="10"/>
        <v>16.455696202531644</v>
      </c>
      <c r="F97" s="310">
        <v>7110</v>
      </c>
      <c r="G97" s="311">
        <v>8280</v>
      </c>
      <c r="H97" s="306">
        <f t="shared" si="11"/>
        <v>16.455696202531644</v>
      </c>
      <c r="I97" s="310"/>
      <c r="J97" s="311"/>
      <c r="K97" s="306"/>
      <c r="L97" s="310"/>
      <c r="M97" s="311"/>
      <c r="N97" s="306"/>
      <c r="O97" s="310"/>
      <c r="P97" s="311"/>
      <c r="Q97" s="306"/>
      <c r="R97" s="310"/>
      <c r="S97" s="311"/>
      <c r="T97" s="306"/>
      <c r="U97" s="310"/>
      <c r="V97" s="311"/>
      <c r="W97" s="306"/>
      <c r="X97" s="310"/>
      <c r="Y97" s="311"/>
      <c r="Z97" s="306"/>
      <c r="AA97" s="310"/>
      <c r="AB97" s="311"/>
      <c r="AC97" s="306"/>
      <c r="AD97" s="310"/>
      <c r="AE97" s="311"/>
      <c r="AF97" s="306"/>
      <c r="AG97" s="310"/>
      <c r="AH97" s="311"/>
      <c r="AI97" s="306"/>
      <c r="AJ97" s="310"/>
      <c r="AK97" s="311"/>
      <c r="AL97" s="306"/>
      <c r="AM97" s="310"/>
      <c r="AN97" s="311"/>
      <c r="AO97" s="306"/>
      <c r="AP97" s="310"/>
      <c r="AQ97" s="311"/>
      <c r="AR97" s="306"/>
      <c r="AS97" s="310"/>
      <c r="AT97" s="311"/>
      <c r="AU97" s="306"/>
      <c r="AV97" s="310"/>
      <c r="AW97" s="311"/>
      <c r="AX97" s="306"/>
      <c r="AY97" s="310"/>
      <c r="AZ97" s="311"/>
      <c r="BA97" s="306"/>
      <c r="BB97" s="310"/>
      <c r="BC97" s="311"/>
      <c r="BD97" s="306"/>
      <c r="BE97" s="312"/>
      <c r="BF97" s="312"/>
      <c r="BG97" s="312"/>
      <c r="BH97" s="312"/>
      <c r="BI97" s="312"/>
      <c r="BJ97" s="312"/>
      <c r="BK97" s="312"/>
      <c r="BL97" s="312"/>
      <c r="BM97" s="312"/>
      <c r="BN97" s="312"/>
      <c r="BO97" s="312"/>
      <c r="BP97" s="312"/>
      <c r="BQ97" s="312"/>
      <c r="BR97" s="312"/>
      <c r="BS97" s="312"/>
      <c r="BT97" s="312"/>
      <c r="BU97" s="312"/>
      <c r="BV97" s="312"/>
      <c r="BW97" s="312"/>
      <c r="BX97" s="312"/>
      <c r="BY97" s="312"/>
      <c r="BZ97" s="312"/>
      <c r="CA97" s="312"/>
      <c r="CB97" s="312"/>
      <c r="CC97" s="312"/>
      <c r="CD97" s="312"/>
      <c r="CE97" s="312"/>
      <c r="CF97" s="312"/>
      <c r="CG97" s="312"/>
      <c r="CH97" s="312"/>
      <c r="CI97" s="312"/>
      <c r="CJ97" s="312"/>
      <c r="CK97" s="312"/>
      <c r="CL97" s="312"/>
      <c r="CM97" s="312"/>
      <c r="CN97" s="312"/>
      <c r="CO97" s="312"/>
      <c r="CP97" s="312"/>
      <c r="CQ97" s="312"/>
      <c r="CR97" s="312"/>
    </row>
    <row r="98" spans="1:96" s="300" customFormat="1" ht="15.75" customHeight="1">
      <c r="A98" s="313"/>
      <c r="B98" s="305" t="s">
        <v>76</v>
      </c>
      <c r="C98" s="311">
        <v>2370</v>
      </c>
      <c r="D98" s="311">
        <v>2760</v>
      </c>
      <c r="E98" s="306">
        <f t="shared" si="10"/>
        <v>16.455696202531644</v>
      </c>
      <c r="F98" s="310">
        <v>7110</v>
      </c>
      <c r="G98" s="311">
        <v>8280</v>
      </c>
      <c r="H98" s="306">
        <f t="shared" si="11"/>
        <v>16.455696202531644</v>
      </c>
      <c r="I98" s="310"/>
      <c r="J98" s="311"/>
      <c r="K98" s="306"/>
      <c r="L98" s="310"/>
      <c r="M98" s="311"/>
      <c r="N98" s="306"/>
      <c r="O98" s="310"/>
      <c r="P98" s="311"/>
      <c r="Q98" s="306"/>
      <c r="R98" s="310"/>
      <c r="S98" s="311"/>
      <c r="T98" s="306"/>
      <c r="U98" s="310"/>
      <c r="V98" s="311"/>
      <c r="W98" s="306"/>
      <c r="X98" s="310"/>
      <c r="Y98" s="311"/>
      <c r="Z98" s="306"/>
      <c r="AA98" s="310"/>
      <c r="AB98" s="311"/>
      <c r="AC98" s="306"/>
      <c r="AD98" s="310"/>
      <c r="AE98" s="311"/>
      <c r="AF98" s="306"/>
      <c r="AG98" s="310"/>
      <c r="AH98" s="311"/>
      <c r="AI98" s="306"/>
      <c r="AJ98" s="310"/>
      <c r="AK98" s="311"/>
      <c r="AL98" s="306"/>
      <c r="AM98" s="310"/>
      <c r="AN98" s="311"/>
      <c r="AO98" s="306"/>
      <c r="AP98" s="310"/>
      <c r="AQ98" s="311"/>
      <c r="AR98" s="306"/>
      <c r="AS98" s="310"/>
      <c r="AT98" s="311"/>
      <c r="AU98" s="306"/>
      <c r="AV98" s="310"/>
      <c r="AW98" s="311"/>
      <c r="AX98" s="306"/>
      <c r="AY98" s="310"/>
      <c r="AZ98" s="311"/>
      <c r="BA98" s="306"/>
      <c r="BB98" s="310"/>
      <c r="BC98" s="311"/>
      <c r="BD98" s="306"/>
      <c r="BE98" s="312"/>
      <c r="BF98" s="312"/>
      <c r="BG98" s="312"/>
      <c r="BH98" s="312"/>
      <c r="BI98" s="312"/>
      <c r="BJ98" s="312"/>
      <c r="BK98" s="312"/>
      <c r="BL98" s="312"/>
      <c r="BM98" s="312"/>
      <c r="BN98" s="312"/>
      <c r="BO98" s="312"/>
      <c r="BP98" s="312"/>
      <c r="BQ98" s="312"/>
      <c r="BR98" s="312"/>
      <c r="BS98" s="312"/>
      <c r="BT98" s="312"/>
      <c r="BU98" s="312"/>
      <c r="BV98" s="312"/>
      <c r="BW98" s="312"/>
      <c r="BX98" s="312"/>
      <c r="BY98" s="312"/>
      <c r="BZ98" s="312"/>
      <c r="CA98" s="312"/>
      <c r="CB98" s="312"/>
      <c r="CC98" s="312"/>
      <c r="CD98" s="312"/>
      <c r="CE98" s="312"/>
      <c r="CF98" s="312"/>
      <c r="CG98" s="312"/>
      <c r="CH98" s="312"/>
      <c r="CI98" s="312"/>
      <c r="CJ98" s="312"/>
      <c r="CK98" s="312"/>
      <c r="CL98" s="312"/>
      <c r="CM98" s="312"/>
      <c r="CN98" s="312"/>
      <c r="CO98" s="312"/>
      <c r="CP98" s="312"/>
      <c r="CQ98" s="312"/>
      <c r="CR98" s="312"/>
    </row>
    <row r="99" spans="1:96" s="300" customFormat="1" ht="15.75" customHeight="1">
      <c r="A99" s="313"/>
      <c r="B99" s="305" t="s">
        <v>473</v>
      </c>
      <c r="C99" s="311">
        <v>2370</v>
      </c>
      <c r="D99" s="311">
        <v>2760</v>
      </c>
      <c r="E99" s="306">
        <f t="shared" si="10"/>
        <v>16.455696202531644</v>
      </c>
      <c r="F99" s="310">
        <v>7110</v>
      </c>
      <c r="G99" s="311">
        <v>8280</v>
      </c>
      <c r="H99" s="306">
        <f t="shared" si="11"/>
        <v>16.455696202531644</v>
      </c>
      <c r="I99" s="310"/>
      <c r="J99" s="311"/>
      <c r="K99" s="306"/>
      <c r="L99" s="310"/>
      <c r="M99" s="311"/>
      <c r="N99" s="306"/>
      <c r="O99" s="310"/>
      <c r="P99" s="311"/>
      <c r="Q99" s="306"/>
      <c r="R99" s="310"/>
      <c r="S99" s="311"/>
      <c r="T99" s="306"/>
      <c r="U99" s="310"/>
      <c r="V99" s="311"/>
      <c r="W99" s="306"/>
      <c r="X99" s="310"/>
      <c r="Y99" s="311"/>
      <c r="Z99" s="306"/>
      <c r="AA99" s="310"/>
      <c r="AB99" s="311"/>
      <c r="AC99" s="306"/>
      <c r="AD99" s="310"/>
      <c r="AE99" s="311"/>
      <c r="AF99" s="306"/>
      <c r="AG99" s="310"/>
      <c r="AH99" s="311"/>
      <c r="AI99" s="306"/>
      <c r="AJ99" s="310"/>
      <c r="AK99" s="311"/>
      <c r="AL99" s="306"/>
      <c r="AM99" s="310"/>
      <c r="AN99" s="311"/>
      <c r="AO99" s="306"/>
      <c r="AP99" s="310"/>
      <c r="AQ99" s="311"/>
      <c r="AR99" s="306"/>
      <c r="AS99" s="310"/>
      <c r="AT99" s="311"/>
      <c r="AU99" s="306"/>
      <c r="AV99" s="310"/>
      <c r="AW99" s="311"/>
      <c r="AX99" s="306"/>
      <c r="AY99" s="310"/>
      <c r="AZ99" s="311"/>
      <c r="BA99" s="306"/>
      <c r="BB99" s="310"/>
      <c r="BC99" s="311"/>
      <c r="BD99" s="306"/>
      <c r="BE99" s="312"/>
      <c r="BF99" s="312"/>
      <c r="BG99" s="312"/>
      <c r="BH99" s="312"/>
      <c r="BI99" s="312"/>
      <c r="BJ99" s="312"/>
      <c r="BK99" s="312"/>
      <c r="BL99" s="312"/>
      <c r="BM99" s="312"/>
      <c r="BN99" s="312"/>
      <c r="BO99" s="312"/>
      <c r="BP99" s="312"/>
      <c r="BQ99" s="312"/>
      <c r="BR99" s="312"/>
      <c r="BS99" s="312"/>
      <c r="BT99" s="312"/>
      <c r="BU99" s="312"/>
      <c r="BV99" s="312"/>
      <c r="BW99" s="312"/>
      <c r="BX99" s="312"/>
      <c r="BY99" s="312"/>
      <c r="BZ99" s="312"/>
      <c r="CA99" s="312"/>
      <c r="CB99" s="312"/>
      <c r="CC99" s="312"/>
      <c r="CD99" s="312"/>
      <c r="CE99" s="312"/>
      <c r="CF99" s="312"/>
      <c r="CG99" s="312"/>
      <c r="CH99" s="312"/>
      <c r="CI99" s="312"/>
      <c r="CJ99" s="312"/>
      <c r="CK99" s="312"/>
      <c r="CL99" s="312"/>
      <c r="CM99" s="312"/>
      <c r="CN99" s="312"/>
      <c r="CO99" s="312"/>
      <c r="CP99" s="312"/>
      <c r="CQ99" s="312"/>
      <c r="CR99" s="312"/>
    </row>
    <row r="100" spans="1:96" s="300" customFormat="1" ht="15.75" customHeight="1">
      <c r="A100" s="313"/>
      <c r="B100" s="305" t="s">
        <v>77</v>
      </c>
      <c r="C100" s="311">
        <v>2370</v>
      </c>
      <c r="D100" s="311">
        <v>2760</v>
      </c>
      <c r="E100" s="306">
        <f t="shared" si="10"/>
        <v>16.455696202531644</v>
      </c>
      <c r="F100" s="310">
        <v>7110</v>
      </c>
      <c r="G100" s="311">
        <v>8280</v>
      </c>
      <c r="H100" s="306">
        <f t="shared" si="11"/>
        <v>16.455696202531644</v>
      </c>
      <c r="I100" s="310"/>
      <c r="J100" s="311"/>
      <c r="K100" s="306"/>
      <c r="L100" s="310"/>
      <c r="M100" s="311"/>
      <c r="N100" s="306"/>
      <c r="O100" s="310"/>
      <c r="P100" s="311"/>
      <c r="Q100" s="306"/>
      <c r="R100" s="310"/>
      <c r="S100" s="311"/>
      <c r="T100" s="306"/>
      <c r="U100" s="310"/>
      <c r="V100" s="311"/>
      <c r="W100" s="306"/>
      <c r="X100" s="310"/>
      <c r="Y100" s="311"/>
      <c r="Z100" s="306"/>
      <c r="AA100" s="310"/>
      <c r="AB100" s="311"/>
      <c r="AC100" s="306"/>
      <c r="AD100" s="310"/>
      <c r="AE100" s="311"/>
      <c r="AF100" s="306"/>
      <c r="AG100" s="310"/>
      <c r="AH100" s="311"/>
      <c r="AI100" s="306"/>
      <c r="AJ100" s="310"/>
      <c r="AK100" s="311"/>
      <c r="AL100" s="306"/>
      <c r="AM100" s="310"/>
      <c r="AN100" s="311"/>
      <c r="AO100" s="306"/>
      <c r="AP100" s="310"/>
      <c r="AQ100" s="311"/>
      <c r="AR100" s="306"/>
      <c r="AS100" s="310"/>
      <c r="AT100" s="311"/>
      <c r="AU100" s="306"/>
      <c r="AV100" s="310"/>
      <c r="AW100" s="311"/>
      <c r="AX100" s="306"/>
      <c r="AY100" s="310"/>
      <c r="AZ100" s="311"/>
      <c r="BA100" s="306"/>
      <c r="BB100" s="310"/>
      <c r="BC100" s="311"/>
      <c r="BD100" s="306"/>
      <c r="BE100" s="312"/>
      <c r="BF100" s="312"/>
      <c r="BG100" s="312"/>
      <c r="BH100" s="312"/>
      <c r="BI100" s="312"/>
      <c r="BJ100" s="312"/>
      <c r="BK100" s="312"/>
      <c r="BL100" s="312"/>
      <c r="BM100" s="312"/>
      <c r="BN100" s="312"/>
      <c r="BO100" s="312"/>
      <c r="BP100" s="312"/>
      <c r="BQ100" s="312"/>
      <c r="BR100" s="312"/>
      <c r="BS100" s="312"/>
      <c r="BT100" s="312"/>
      <c r="BU100" s="312"/>
      <c r="BV100" s="312"/>
      <c r="BW100" s="312"/>
      <c r="BX100" s="312"/>
      <c r="BY100" s="312"/>
      <c r="BZ100" s="312"/>
      <c r="CA100" s="312"/>
      <c r="CB100" s="312"/>
      <c r="CC100" s="312"/>
      <c r="CD100" s="312"/>
      <c r="CE100" s="312"/>
      <c r="CF100" s="312"/>
      <c r="CG100" s="312"/>
      <c r="CH100" s="312"/>
      <c r="CI100" s="312"/>
      <c r="CJ100" s="312"/>
      <c r="CK100" s="312"/>
      <c r="CL100" s="312"/>
      <c r="CM100" s="312"/>
      <c r="CN100" s="312"/>
      <c r="CO100" s="312"/>
      <c r="CP100" s="312"/>
      <c r="CQ100" s="312"/>
      <c r="CR100" s="312"/>
    </row>
    <row r="101" spans="1:96" s="300" customFormat="1" ht="15.75" customHeight="1">
      <c r="A101" s="313"/>
      <c r="B101" s="305" t="s">
        <v>63</v>
      </c>
      <c r="C101" s="311">
        <v>2370</v>
      </c>
      <c r="D101" s="311">
        <v>2760</v>
      </c>
      <c r="E101" s="306">
        <f t="shared" si="10"/>
        <v>16.455696202531644</v>
      </c>
      <c r="F101" s="310">
        <v>7110</v>
      </c>
      <c r="G101" s="311">
        <v>8280</v>
      </c>
      <c r="H101" s="306">
        <f t="shared" si="11"/>
        <v>16.455696202531644</v>
      </c>
      <c r="I101" s="310"/>
      <c r="J101" s="311"/>
      <c r="K101" s="306"/>
      <c r="L101" s="310"/>
      <c r="M101" s="311"/>
      <c r="N101" s="306"/>
      <c r="O101" s="310"/>
      <c r="P101" s="311"/>
      <c r="Q101" s="306"/>
      <c r="R101" s="310"/>
      <c r="S101" s="311"/>
      <c r="T101" s="306"/>
      <c r="U101" s="310"/>
      <c r="V101" s="311"/>
      <c r="W101" s="306"/>
      <c r="X101" s="310"/>
      <c r="Y101" s="311"/>
      <c r="Z101" s="306"/>
      <c r="AA101" s="310"/>
      <c r="AB101" s="311"/>
      <c r="AC101" s="306"/>
      <c r="AD101" s="310"/>
      <c r="AE101" s="311"/>
      <c r="AF101" s="306"/>
      <c r="AG101" s="310"/>
      <c r="AH101" s="311"/>
      <c r="AI101" s="306"/>
      <c r="AJ101" s="310"/>
      <c r="AK101" s="311"/>
      <c r="AL101" s="306"/>
      <c r="AM101" s="310"/>
      <c r="AN101" s="311"/>
      <c r="AO101" s="306"/>
      <c r="AP101" s="310"/>
      <c r="AQ101" s="311"/>
      <c r="AR101" s="306"/>
      <c r="AS101" s="310"/>
      <c r="AT101" s="311"/>
      <c r="AU101" s="306"/>
      <c r="AV101" s="310"/>
      <c r="AW101" s="311"/>
      <c r="AX101" s="306"/>
      <c r="AY101" s="310"/>
      <c r="AZ101" s="311"/>
      <c r="BA101" s="306"/>
      <c r="BB101" s="310"/>
      <c r="BC101" s="311"/>
      <c r="BD101" s="306"/>
      <c r="BE101" s="312"/>
      <c r="BF101" s="312"/>
      <c r="BG101" s="312"/>
      <c r="BH101" s="312"/>
      <c r="BI101" s="312"/>
      <c r="BJ101" s="312"/>
      <c r="BK101" s="312"/>
      <c r="BL101" s="312"/>
      <c r="BM101" s="312"/>
      <c r="BN101" s="312"/>
      <c r="BO101" s="312"/>
      <c r="BP101" s="312"/>
      <c r="BQ101" s="312"/>
      <c r="BR101" s="312"/>
      <c r="BS101" s="312"/>
      <c r="BT101" s="312"/>
      <c r="BU101" s="312"/>
      <c r="BV101" s="312"/>
      <c r="BW101" s="312"/>
      <c r="BX101" s="312"/>
      <c r="BY101" s="312"/>
      <c r="BZ101" s="312"/>
      <c r="CA101" s="312"/>
      <c r="CB101" s="312"/>
      <c r="CC101" s="312"/>
      <c r="CD101" s="312"/>
      <c r="CE101" s="312"/>
      <c r="CF101" s="312"/>
      <c r="CG101" s="312"/>
      <c r="CH101" s="312"/>
      <c r="CI101" s="312"/>
      <c r="CJ101" s="312"/>
      <c r="CK101" s="312"/>
      <c r="CL101" s="312"/>
      <c r="CM101" s="312"/>
      <c r="CN101" s="312"/>
      <c r="CO101" s="312"/>
      <c r="CP101" s="312"/>
      <c r="CQ101" s="312"/>
      <c r="CR101" s="312"/>
    </row>
    <row r="102" spans="1:96" s="300" customFormat="1" ht="15.75" customHeight="1">
      <c r="A102" s="313"/>
      <c r="B102" s="305" t="s">
        <v>64</v>
      </c>
      <c r="C102" s="311"/>
      <c r="D102" s="311"/>
      <c r="E102" s="306">
        <f t="shared" si="10"/>
        <v>0</v>
      </c>
      <c r="F102" s="310"/>
      <c r="G102" s="311"/>
      <c r="H102" s="306">
        <f t="shared" si="11"/>
        <v>0</v>
      </c>
      <c r="I102" s="310"/>
      <c r="J102" s="311"/>
      <c r="K102" s="306"/>
      <c r="L102" s="310"/>
      <c r="M102" s="311"/>
      <c r="N102" s="306"/>
      <c r="O102" s="310"/>
      <c r="P102" s="311"/>
      <c r="Q102" s="306"/>
      <c r="R102" s="310"/>
      <c r="S102" s="311"/>
      <c r="T102" s="306"/>
      <c r="U102" s="310"/>
      <c r="V102" s="311"/>
      <c r="W102" s="306"/>
      <c r="X102" s="310"/>
      <c r="Y102" s="311"/>
      <c r="Z102" s="306"/>
      <c r="AA102" s="310"/>
      <c r="AB102" s="311"/>
      <c r="AC102" s="306"/>
      <c r="AD102" s="310"/>
      <c r="AE102" s="311"/>
      <c r="AF102" s="306"/>
      <c r="AG102" s="310"/>
      <c r="AH102" s="311"/>
      <c r="AI102" s="306"/>
      <c r="AJ102" s="310"/>
      <c r="AK102" s="311"/>
      <c r="AL102" s="306"/>
      <c r="AM102" s="310"/>
      <c r="AN102" s="311"/>
      <c r="AO102" s="306"/>
      <c r="AP102" s="310"/>
      <c r="AQ102" s="311"/>
      <c r="AR102" s="306"/>
      <c r="AS102" s="310"/>
      <c r="AT102" s="311"/>
      <c r="AU102" s="306"/>
      <c r="AV102" s="310"/>
      <c r="AW102" s="311"/>
      <c r="AX102" s="306"/>
      <c r="AY102" s="310"/>
      <c r="AZ102" s="311"/>
      <c r="BA102" s="306"/>
      <c r="BB102" s="310"/>
      <c r="BC102" s="311"/>
      <c r="BD102" s="306"/>
      <c r="BE102" s="312"/>
      <c r="BF102" s="312"/>
      <c r="BG102" s="312"/>
      <c r="BH102" s="312"/>
      <c r="BI102" s="312"/>
      <c r="BJ102" s="312"/>
      <c r="BK102" s="312"/>
      <c r="BL102" s="312"/>
      <c r="BM102" s="312"/>
      <c r="BN102" s="312"/>
      <c r="BO102" s="312"/>
      <c r="BP102" s="312"/>
      <c r="BQ102" s="312"/>
      <c r="BR102" s="312"/>
      <c r="BS102" s="312"/>
      <c r="BT102" s="312"/>
      <c r="BU102" s="312"/>
      <c r="BV102" s="312"/>
      <c r="BW102" s="312"/>
      <c r="BX102" s="312"/>
      <c r="BY102" s="312"/>
      <c r="BZ102" s="312"/>
      <c r="CA102" s="312"/>
      <c r="CB102" s="312"/>
      <c r="CC102" s="312"/>
      <c r="CD102" s="312"/>
      <c r="CE102" s="312"/>
      <c r="CF102" s="312"/>
      <c r="CG102" s="312"/>
      <c r="CH102" s="312"/>
      <c r="CI102" s="312"/>
      <c r="CJ102" s="312"/>
      <c r="CK102" s="312"/>
      <c r="CL102" s="312"/>
      <c r="CM102" s="312"/>
      <c r="CN102" s="312"/>
      <c r="CO102" s="312"/>
      <c r="CP102" s="312"/>
      <c r="CQ102" s="312"/>
      <c r="CR102" s="312"/>
    </row>
    <row r="103" spans="1:96" s="300" customFormat="1" ht="15.75" customHeight="1" thickBot="1">
      <c r="A103" s="313"/>
      <c r="B103" s="305" t="s">
        <v>970</v>
      </c>
      <c r="C103" s="311">
        <v>2370</v>
      </c>
      <c r="D103" s="311">
        <v>2760</v>
      </c>
      <c r="E103" s="306">
        <f t="shared" si="10"/>
        <v>16.455696202531644</v>
      </c>
      <c r="F103" s="310">
        <v>7110</v>
      </c>
      <c r="G103" s="311">
        <v>8280</v>
      </c>
      <c r="H103" s="306">
        <f t="shared" si="11"/>
        <v>16.455696202531644</v>
      </c>
      <c r="I103" s="310"/>
      <c r="J103" s="311"/>
      <c r="K103" s="306"/>
      <c r="L103" s="310"/>
      <c r="M103" s="311"/>
      <c r="N103" s="306"/>
      <c r="O103" s="310"/>
      <c r="P103" s="311"/>
      <c r="Q103" s="306"/>
      <c r="R103" s="310"/>
      <c r="S103" s="311"/>
      <c r="T103" s="306"/>
      <c r="U103" s="310"/>
      <c r="V103" s="311"/>
      <c r="W103" s="306"/>
      <c r="X103" s="310"/>
      <c r="Y103" s="311"/>
      <c r="Z103" s="306"/>
      <c r="AA103" s="310"/>
      <c r="AB103" s="311"/>
      <c r="AC103" s="306"/>
      <c r="AD103" s="310"/>
      <c r="AE103" s="311"/>
      <c r="AF103" s="306"/>
      <c r="AG103" s="310"/>
      <c r="AH103" s="311"/>
      <c r="AI103" s="306"/>
      <c r="AJ103" s="310"/>
      <c r="AK103" s="311"/>
      <c r="AL103" s="306"/>
      <c r="AM103" s="310"/>
      <c r="AN103" s="311"/>
      <c r="AO103" s="306"/>
      <c r="AP103" s="310"/>
      <c r="AQ103" s="311"/>
      <c r="AR103" s="306"/>
      <c r="AS103" s="310"/>
      <c r="AT103" s="311"/>
      <c r="AU103" s="306"/>
      <c r="AV103" s="310"/>
      <c r="AW103" s="311"/>
      <c r="AX103" s="306"/>
      <c r="AY103" s="310"/>
      <c r="AZ103" s="311"/>
      <c r="BA103" s="306"/>
      <c r="BB103" s="310"/>
      <c r="BC103" s="311"/>
      <c r="BD103" s="306"/>
      <c r="BE103" s="312"/>
      <c r="BF103" s="312"/>
      <c r="BG103" s="312"/>
      <c r="BH103" s="312"/>
      <c r="BI103" s="312"/>
      <c r="BJ103" s="312"/>
      <c r="BK103" s="312"/>
      <c r="BL103" s="312"/>
      <c r="BM103" s="312"/>
      <c r="BN103" s="312"/>
      <c r="BO103" s="312"/>
      <c r="BP103" s="312"/>
      <c r="BQ103" s="312"/>
      <c r="BR103" s="312"/>
      <c r="BS103" s="312"/>
      <c r="BT103" s="312"/>
      <c r="BU103" s="312"/>
      <c r="BV103" s="312"/>
      <c r="BW103" s="312"/>
      <c r="BX103" s="312"/>
      <c r="BY103" s="312"/>
      <c r="BZ103" s="312"/>
      <c r="CA103" s="312"/>
      <c r="CB103" s="312"/>
      <c r="CC103" s="312"/>
      <c r="CD103" s="312"/>
      <c r="CE103" s="312"/>
      <c r="CF103" s="312"/>
      <c r="CG103" s="312"/>
      <c r="CH103" s="312"/>
      <c r="CI103" s="312"/>
      <c r="CJ103" s="312"/>
      <c r="CK103" s="312"/>
      <c r="CL103" s="312"/>
      <c r="CM103" s="312"/>
      <c r="CN103" s="312"/>
      <c r="CO103" s="312"/>
      <c r="CP103" s="312"/>
      <c r="CQ103" s="312"/>
      <c r="CR103" s="312"/>
    </row>
    <row r="104" spans="1:96" s="321" customFormat="1" ht="15.75" customHeight="1">
      <c r="A104" s="314"/>
      <c r="B104" s="315"/>
      <c r="C104" s="317"/>
      <c r="D104" s="317"/>
      <c r="E104" s="318">
        <f t="shared" si="10"/>
        <v>0</v>
      </c>
      <c r="F104" s="316"/>
      <c r="G104" s="317"/>
      <c r="H104" s="318">
        <f t="shared" si="11"/>
        <v>0</v>
      </c>
      <c r="I104" s="316"/>
      <c r="J104" s="317"/>
      <c r="K104" s="318"/>
      <c r="L104" s="316"/>
      <c r="M104" s="317"/>
      <c r="N104" s="318"/>
      <c r="O104" s="316">
        <v>8424</v>
      </c>
      <c r="P104" s="317">
        <v>9240</v>
      </c>
      <c r="Q104" s="318">
        <f>IF(O104&gt;0,(((P104-O104)/O104)*100),0)</f>
        <v>9.686609686609685</v>
      </c>
      <c r="R104" s="316">
        <v>18408</v>
      </c>
      <c r="S104" s="317">
        <v>20184</v>
      </c>
      <c r="T104" s="318">
        <f>IF(R104&gt;0,(((S104-R104)/R104)*100),0)</f>
        <v>9.647979139504564</v>
      </c>
      <c r="U104" s="336">
        <v>14074</v>
      </c>
      <c r="V104" s="337">
        <v>16552</v>
      </c>
      <c r="W104" s="338">
        <f>IF(U104&gt;0,(((V104-U104)/U104)*100),0)</f>
        <v>17.606934773340914</v>
      </c>
      <c r="X104" s="316">
        <v>34129</v>
      </c>
      <c r="Y104" s="317">
        <v>36981</v>
      </c>
      <c r="Z104" s="318">
        <f>IF(X104&gt;0,(((Y104-X104)/X104)*100),0)</f>
        <v>8.356529637551642</v>
      </c>
      <c r="AA104" s="336">
        <v>12210</v>
      </c>
      <c r="AB104" s="337">
        <v>14701</v>
      </c>
      <c r="AC104" s="338">
        <f>IF(AA104&gt;0,(((AB104-AA104)/AA104)*100),0)</f>
        <v>20.4013104013104</v>
      </c>
      <c r="AD104" s="316">
        <v>29648</v>
      </c>
      <c r="AE104" s="317">
        <v>35444</v>
      </c>
      <c r="AF104" s="318">
        <f>IF(AD104&gt;0,(((AE104-AD104)/AD104)*100),0)</f>
        <v>19.549379384781435</v>
      </c>
      <c r="AG104" s="336">
        <v>7688</v>
      </c>
      <c r="AH104" s="337">
        <v>9706</v>
      </c>
      <c r="AI104" s="338">
        <f>IF(AG104&gt;0,(((AH104-AG104)/AG104)*100),0)</f>
        <v>26.24869927159209</v>
      </c>
      <c r="AJ104" s="316">
        <v>20730</v>
      </c>
      <c r="AK104" s="317">
        <v>22848</v>
      </c>
      <c r="AL104" s="318">
        <f>IF(AJ104&gt;0,(((AK104-AJ104)/AJ104)*100),0)</f>
        <v>10.217076700434154</v>
      </c>
      <c r="AM104" s="316"/>
      <c r="AN104" s="317"/>
      <c r="AO104" s="318"/>
      <c r="AP104" s="316"/>
      <c r="AQ104" s="317"/>
      <c r="AR104" s="318">
        <f>IF(AP104&gt;0,(((AQ104-AP104)/AP104)*100),0)</f>
        <v>0</v>
      </c>
      <c r="AS104" s="316"/>
      <c r="AT104" s="317"/>
      <c r="AU104" s="318"/>
      <c r="AV104" s="316"/>
      <c r="AW104" s="317"/>
      <c r="AX104" s="318"/>
      <c r="AY104" s="316"/>
      <c r="AZ104" s="317"/>
      <c r="BA104" s="318"/>
      <c r="BB104" s="316"/>
      <c r="BC104" s="317"/>
      <c r="BD104" s="318">
        <f>IF(BB104&gt;0,(((BC104-BB104)/BB104)*100),0)</f>
        <v>0</v>
      </c>
      <c r="BE104" s="320"/>
      <c r="BF104" s="320"/>
      <c r="BG104" s="320"/>
      <c r="BH104" s="320"/>
      <c r="BI104" s="320"/>
      <c r="BJ104" s="320"/>
      <c r="BK104" s="320"/>
      <c r="BL104" s="320"/>
      <c r="BM104" s="320"/>
      <c r="BN104" s="320"/>
      <c r="BO104" s="320"/>
      <c r="BP104" s="320"/>
      <c r="BQ104" s="320"/>
      <c r="BR104" s="320"/>
      <c r="BS104" s="320"/>
      <c r="BT104" s="320"/>
      <c r="BU104" s="320"/>
      <c r="BV104" s="320"/>
      <c r="BW104" s="320"/>
      <c r="BX104" s="320"/>
      <c r="BY104" s="320"/>
      <c r="BZ104" s="320"/>
      <c r="CA104" s="320"/>
      <c r="CB104" s="320"/>
      <c r="CC104" s="320"/>
      <c r="CD104" s="320"/>
      <c r="CE104" s="320"/>
      <c r="CF104" s="320"/>
      <c r="CG104" s="320"/>
      <c r="CH104" s="320"/>
      <c r="CI104" s="320"/>
      <c r="CJ104" s="320"/>
      <c r="CK104" s="320"/>
      <c r="CL104" s="320"/>
      <c r="CM104" s="320"/>
      <c r="CN104" s="320"/>
      <c r="CO104" s="320"/>
      <c r="CP104" s="320"/>
      <c r="CQ104" s="320"/>
      <c r="CR104" s="320"/>
    </row>
    <row r="105" spans="1:96" s="300" customFormat="1" ht="15.75" customHeight="1" thickBot="1">
      <c r="A105" s="304" t="s">
        <v>1032</v>
      </c>
      <c r="B105" s="305" t="s">
        <v>665</v>
      </c>
      <c r="C105" s="311">
        <v>3880</v>
      </c>
      <c r="D105" s="311">
        <v>4292</v>
      </c>
      <c r="E105" s="306">
        <f t="shared" si="10"/>
        <v>10.618556701030927</v>
      </c>
      <c r="F105" s="333">
        <v>9180</v>
      </c>
      <c r="G105" s="334">
        <v>11092</v>
      </c>
      <c r="H105" s="335">
        <f t="shared" si="11"/>
        <v>20.827886710239653</v>
      </c>
      <c r="I105" s="310">
        <v>3799</v>
      </c>
      <c r="J105" s="311">
        <v>4187</v>
      </c>
      <c r="K105" s="306">
        <f aca="true" t="shared" si="14" ref="K105:K111">IF(I105&gt;0,(((J105-I105)/I105)*100),0)</f>
        <v>10.21321400368518</v>
      </c>
      <c r="L105" s="333">
        <v>9099</v>
      </c>
      <c r="M105" s="334">
        <v>10987</v>
      </c>
      <c r="N105" s="335">
        <f aca="true" t="shared" si="15" ref="N105:N111">IF(L105&gt;0,(((M105-L105)/L105)*100),0)</f>
        <v>20.74953291570502</v>
      </c>
      <c r="O105" s="310"/>
      <c r="P105" s="311"/>
      <c r="Q105" s="306"/>
      <c r="R105" s="310"/>
      <c r="S105" s="311"/>
      <c r="T105" s="306"/>
      <c r="U105" s="310"/>
      <c r="V105" s="311"/>
      <c r="W105" s="306"/>
      <c r="X105" s="310"/>
      <c r="Y105" s="311"/>
      <c r="Z105" s="306"/>
      <c r="AA105" s="310"/>
      <c r="AB105" s="311"/>
      <c r="AC105" s="306"/>
      <c r="AD105" s="310"/>
      <c r="AE105" s="311"/>
      <c r="AF105" s="306"/>
      <c r="AG105" s="310"/>
      <c r="AH105" s="311"/>
      <c r="AI105" s="306"/>
      <c r="AJ105" s="310"/>
      <c r="AK105" s="311"/>
      <c r="AL105" s="306"/>
      <c r="AM105" s="310"/>
      <c r="AN105" s="311"/>
      <c r="AO105" s="306"/>
      <c r="AP105" s="310"/>
      <c r="AQ105" s="311"/>
      <c r="AR105" s="306"/>
      <c r="AS105" s="310"/>
      <c r="AT105" s="311"/>
      <c r="AU105" s="306"/>
      <c r="AV105" s="310"/>
      <c r="AW105" s="311"/>
      <c r="AX105" s="306"/>
      <c r="AY105" s="310"/>
      <c r="AZ105" s="311"/>
      <c r="BA105" s="306"/>
      <c r="BB105" s="310"/>
      <c r="BC105" s="311"/>
      <c r="BD105" s="306"/>
      <c r="BE105" s="312"/>
      <c r="BF105" s="312"/>
      <c r="BG105" s="312"/>
      <c r="BH105" s="312"/>
      <c r="BI105" s="312"/>
      <c r="BJ105" s="312"/>
      <c r="BK105" s="312"/>
      <c r="BL105" s="312"/>
      <c r="BM105" s="312"/>
      <c r="BN105" s="312"/>
      <c r="BO105" s="312"/>
      <c r="BP105" s="312"/>
      <c r="BQ105" s="312"/>
      <c r="BR105" s="312"/>
      <c r="BS105" s="312"/>
      <c r="BT105" s="312"/>
      <c r="BU105" s="312"/>
      <c r="BV105" s="312"/>
      <c r="BW105" s="312"/>
      <c r="BX105" s="312"/>
      <c r="BY105" s="312"/>
      <c r="BZ105" s="312"/>
      <c r="CA105" s="312"/>
      <c r="CB105" s="312"/>
      <c r="CC105" s="312"/>
      <c r="CD105" s="312"/>
      <c r="CE105" s="312"/>
      <c r="CF105" s="312"/>
      <c r="CG105" s="312"/>
      <c r="CH105" s="312"/>
      <c r="CI105" s="312"/>
      <c r="CJ105" s="312"/>
      <c r="CK105" s="312"/>
      <c r="CL105" s="312"/>
      <c r="CM105" s="312"/>
      <c r="CN105" s="312"/>
      <c r="CO105" s="312"/>
      <c r="CP105" s="312"/>
      <c r="CQ105" s="312"/>
      <c r="CR105" s="312"/>
    </row>
    <row r="106" spans="1:96" s="300" customFormat="1" ht="15.75" customHeight="1" thickBot="1">
      <c r="A106" s="313"/>
      <c r="B106" s="305" t="s">
        <v>666</v>
      </c>
      <c r="C106" s="311">
        <v>3196</v>
      </c>
      <c r="D106" s="311">
        <v>3459</v>
      </c>
      <c r="E106" s="306">
        <f t="shared" si="10"/>
        <v>8.229036295369212</v>
      </c>
      <c r="F106" s="310">
        <v>9808</v>
      </c>
      <c r="G106" s="311">
        <v>10071</v>
      </c>
      <c r="H106" s="306">
        <f t="shared" si="11"/>
        <v>2.681484502446982</v>
      </c>
      <c r="I106" s="310">
        <v>3115</v>
      </c>
      <c r="J106" s="311">
        <v>3358.5</v>
      </c>
      <c r="K106" s="306">
        <f t="shared" si="14"/>
        <v>7.81701444622793</v>
      </c>
      <c r="L106" s="310">
        <v>9727</v>
      </c>
      <c r="M106" s="311">
        <v>9970.5</v>
      </c>
      <c r="N106" s="306">
        <f t="shared" si="15"/>
        <v>2.5033412151742573</v>
      </c>
      <c r="O106" s="310"/>
      <c r="P106" s="311"/>
      <c r="Q106" s="306"/>
      <c r="R106" s="310"/>
      <c r="S106" s="311"/>
      <c r="T106" s="306"/>
      <c r="U106" s="310"/>
      <c r="V106" s="311"/>
      <c r="W106" s="306"/>
      <c r="X106" s="310"/>
      <c r="Y106" s="311"/>
      <c r="Z106" s="306"/>
      <c r="AA106" s="310"/>
      <c r="AB106" s="311"/>
      <c r="AC106" s="306"/>
      <c r="AD106" s="310"/>
      <c r="AE106" s="311"/>
      <c r="AF106" s="306"/>
      <c r="AG106" s="310"/>
      <c r="AH106" s="311"/>
      <c r="AI106" s="306"/>
      <c r="AJ106" s="310"/>
      <c r="AK106" s="311"/>
      <c r="AL106" s="306"/>
      <c r="AM106" s="310"/>
      <c r="AN106" s="311"/>
      <c r="AO106" s="306"/>
      <c r="AP106" s="310"/>
      <c r="AQ106" s="311"/>
      <c r="AR106" s="306"/>
      <c r="AS106" s="310"/>
      <c r="AT106" s="311"/>
      <c r="AU106" s="306"/>
      <c r="AV106" s="310"/>
      <c r="AW106" s="311"/>
      <c r="AX106" s="306"/>
      <c r="AY106" s="310"/>
      <c r="AZ106" s="311"/>
      <c r="BA106" s="306"/>
      <c r="BB106" s="310"/>
      <c r="BC106" s="311"/>
      <c r="BD106" s="306"/>
      <c r="BE106" s="312"/>
      <c r="BF106" s="312"/>
      <c r="BG106" s="312"/>
      <c r="BH106" s="312"/>
      <c r="BI106" s="312"/>
      <c r="BJ106" s="312"/>
      <c r="BK106" s="312"/>
      <c r="BL106" s="312"/>
      <c r="BM106" s="312"/>
      <c r="BN106" s="312"/>
      <c r="BO106" s="312"/>
      <c r="BP106" s="312"/>
      <c r="BQ106" s="312"/>
      <c r="BR106" s="312"/>
      <c r="BS106" s="312"/>
      <c r="BT106" s="312"/>
      <c r="BU106" s="312"/>
      <c r="BV106" s="312"/>
      <c r="BW106" s="312"/>
      <c r="BX106" s="312"/>
      <c r="BY106" s="312"/>
      <c r="BZ106" s="312"/>
      <c r="CA106" s="312"/>
      <c r="CB106" s="312"/>
      <c r="CC106" s="312"/>
      <c r="CD106" s="312"/>
      <c r="CE106" s="312"/>
      <c r="CF106" s="312"/>
      <c r="CG106" s="312"/>
      <c r="CH106" s="312"/>
      <c r="CI106" s="312"/>
      <c r="CJ106" s="312"/>
      <c r="CK106" s="312"/>
      <c r="CL106" s="312"/>
      <c r="CM106" s="312"/>
      <c r="CN106" s="312"/>
      <c r="CO106" s="312"/>
      <c r="CP106" s="312"/>
      <c r="CQ106" s="312"/>
      <c r="CR106" s="312"/>
    </row>
    <row r="107" spans="1:96" s="300" customFormat="1" ht="15.75" customHeight="1" thickBot="1">
      <c r="A107" s="313"/>
      <c r="B107" s="305" t="s">
        <v>667</v>
      </c>
      <c r="C107" s="308">
        <v>3018</v>
      </c>
      <c r="D107" s="308">
        <v>3440</v>
      </c>
      <c r="E107" s="309">
        <f t="shared" si="10"/>
        <v>13.982770046388337</v>
      </c>
      <c r="F107" s="310">
        <v>8810</v>
      </c>
      <c r="G107" s="311">
        <v>9148</v>
      </c>
      <c r="H107" s="306">
        <f t="shared" si="11"/>
        <v>3.8365493757094216</v>
      </c>
      <c r="I107" s="310">
        <v>2832</v>
      </c>
      <c r="J107" s="311">
        <v>3069</v>
      </c>
      <c r="K107" s="306">
        <f t="shared" si="14"/>
        <v>8.36864406779661</v>
      </c>
      <c r="L107" s="310">
        <v>8112</v>
      </c>
      <c r="M107" s="311">
        <v>8522</v>
      </c>
      <c r="N107" s="306">
        <f t="shared" si="15"/>
        <v>5.054240631163708</v>
      </c>
      <c r="O107" s="310"/>
      <c r="P107" s="311"/>
      <c r="Q107" s="306"/>
      <c r="R107" s="310"/>
      <c r="S107" s="311"/>
      <c r="T107" s="306"/>
      <c r="U107" s="310"/>
      <c r="V107" s="311"/>
      <c r="W107" s="306"/>
      <c r="X107" s="310"/>
      <c r="Y107" s="311"/>
      <c r="Z107" s="306"/>
      <c r="AA107" s="310"/>
      <c r="AB107" s="311"/>
      <c r="AC107" s="306"/>
      <c r="AD107" s="310"/>
      <c r="AE107" s="311"/>
      <c r="AF107" s="306"/>
      <c r="AG107" s="310"/>
      <c r="AH107" s="311"/>
      <c r="AI107" s="306"/>
      <c r="AJ107" s="310"/>
      <c r="AK107" s="311"/>
      <c r="AL107" s="306"/>
      <c r="AM107" s="310"/>
      <c r="AN107" s="311"/>
      <c r="AO107" s="306"/>
      <c r="AP107" s="310"/>
      <c r="AQ107" s="311"/>
      <c r="AR107" s="306"/>
      <c r="AS107" s="310"/>
      <c r="AT107" s="311"/>
      <c r="AU107" s="306"/>
      <c r="AV107" s="310"/>
      <c r="AW107" s="311"/>
      <c r="AX107" s="306"/>
      <c r="AY107" s="310"/>
      <c r="AZ107" s="311"/>
      <c r="BA107" s="306"/>
      <c r="BB107" s="310"/>
      <c r="BC107" s="311"/>
      <c r="BD107" s="306"/>
      <c r="BE107" s="312"/>
      <c r="BF107" s="312"/>
      <c r="BG107" s="312"/>
      <c r="BH107" s="312"/>
      <c r="BI107" s="312"/>
      <c r="BJ107" s="312"/>
      <c r="BK107" s="312"/>
      <c r="BL107" s="312"/>
      <c r="BM107" s="312"/>
      <c r="BN107" s="312"/>
      <c r="BO107" s="312"/>
      <c r="BP107" s="312"/>
      <c r="BQ107" s="312"/>
      <c r="BR107" s="312"/>
      <c r="BS107" s="312"/>
      <c r="BT107" s="312"/>
      <c r="BU107" s="312"/>
      <c r="BV107" s="312"/>
      <c r="BW107" s="312"/>
      <c r="BX107" s="312"/>
      <c r="BY107" s="312"/>
      <c r="BZ107" s="312"/>
      <c r="CA107" s="312"/>
      <c r="CB107" s="312"/>
      <c r="CC107" s="312"/>
      <c r="CD107" s="312"/>
      <c r="CE107" s="312"/>
      <c r="CF107" s="312"/>
      <c r="CG107" s="312"/>
      <c r="CH107" s="312"/>
      <c r="CI107" s="312"/>
      <c r="CJ107" s="312"/>
      <c r="CK107" s="312"/>
      <c r="CL107" s="312"/>
      <c r="CM107" s="312"/>
      <c r="CN107" s="312"/>
      <c r="CO107" s="312"/>
      <c r="CP107" s="312"/>
      <c r="CQ107" s="312"/>
      <c r="CR107" s="312"/>
    </row>
    <row r="108" spans="1:96" s="300" customFormat="1" ht="15.75" customHeight="1">
      <c r="A108" s="313"/>
      <c r="B108" s="305" t="s">
        <v>668</v>
      </c>
      <c r="C108" s="311">
        <v>2913</v>
      </c>
      <c r="D108" s="311">
        <v>3090</v>
      </c>
      <c r="E108" s="306">
        <f t="shared" si="10"/>
        <v>6.07621009268795</v>
      </c>
      <c r="F108" s="310">
        <v>8436</v>
      </c>
      <c r="G108" s="311">
        <v>8760</v>
      </c>
      <c r="H108" s="306">
        <f t="shared" si="11"/>
        <v>3.8406827880512093</v>
      </c>
      <c r="I108" s="310">
        <v>2659</v>
      </c>
      <c r="J108" s="311">
        <v>2892</v>
      </c>
      <c r="K108" s="306">
        <f t="shared" si="14"/>
        <v>8.762692741632193</v>
      </c>
      <c r="L108" s="310">
        <v>6739</v>
      </c>
      <c r="M108" s="311">
        <v>6904</v>
      </c>
      <c r="N108" s="306">
        <f t="shared" si="15"/>
        <v>2.448434485828758</v>
      </c>
      <c r="O108" s="311"/>
      <c r="P108" s="311"/>
      <c r="Q108" s="306"/>
      <c r="R108" s="311"/>
      <c r="S108" s="311"/>
      <c r="T108" s="306"/>
      <c r="U108" s="311"/>
      <c r="V108" s="311"/>
      <c r="W108" s="306"/>
      <c r="X108" s="311"/>
      <c r="Y108" s="311"/>
      <c r="Z108" s="306"/>
      <c r="AA108" s="311"/>
      <c r="AB108" s="311"/>
      <c r="AC108" s="306"/>
      <c r="AD108" s="311"/>
      <c r="AE108" s="311"/>
      <c r="AF108" s="306"/>
      <c r="AG108" s="311"/>
      <c r="AH108" s="311"/>
      <c r="AI108" s="306"/>
      <c r="AJ108" s="311"/>
      <c r="AK108" s="311"/>
      <c r="AL108" s="306"/>
      <c r="AM108" s="311"/>
      <c r="AN108" s="311"/>
      <c r="AO108" s="306"/>
      <c r="AP108" s="311"/>
      <c r="AQ108" s="311"/>
      <c r="AR108" s="306"/>
      <c r="AS108" s="311"/>
      <c r="AT108" s="311"/>
      <c r="AU108" s="306"/>
      <c r="AV108" s="311"/>
      <c r="AW108" s="311"/>
      <c r="AX108" s="306"/>
      <c r="AY108" s="311"/>
      <c r="AZ108" s="311"/>
      <c r="BA108" s="306"/>
      <c r="BB108" s="311"/>
      <c r="BC108" s="311"/>
      <c r="BD108" s="306"/>
      <c r="BE108" s="312"/>
      <c r="BF108" s="312"/>
      <c r="BG108" s="312"/>
      <c r="BH108" s="312"/>
      <c r="BI108" s="312"/>
      <c r="BJ108" s="312"/>
      <c r="BK108" s="312"/>
      <c r="BL108" s="312"/>
      <c r="BM108" s="312"/>
      <c r="BN108" s="312"/>
      <c r="BO108" s="312"/>
      <c r="BP108" s="312"/>
      <c r="BQ108" s="312"/>
      <c r="BR108" s="312"/>
      <c r="BS108" s="312"/>
      <c r="BT108" s="312"/>
      <c r="BU108" s="312"/>
      <c r="BV108" s="312"/>
      <c r="BW108" s="312"/>
      <c r="BX108" s="312"/>
      <c r="BY108" s="312"/>
      <c r="BZ108" s="312"/>
      <c r="CA108" s="312"/>
      <c r="CB108" s="312"/>
      <c r="CC108" s="312"/>
      <c r="CD108" s="312"/>
      <c r="CE108" s="312"/>
      <c r="CF108" s="312"/>
      <c r="CG108" s="312"/>
      <c r="CH108" s="312"/>
      <c r="CI108" s="312"/>
      <c r="CJ108" s="312"/>
      <c r="CK108" s="312"/>
      <c r="CL108" s="312"/>
      <c r="CM108" s="312"/>
      <c r="CN108" s="312"/>
      <c r="CO108" s="312"/>
      <c r="CP108" s="312"/>
      <c r="CQ108" s="312"/>
      <c r="CR108" s="312"/>
    </row>
    <row r="109" spans="1:96" s="300" customFormat="1" ht="15.75" customHeight="1">
      <c r="A109" s="313"/>
      <c r="B109" s="305" t="s">
        <v>669</v>
      </c>
      <c r="C109" s="311">
        <v>2747.5</v>
      </c>
      <c r="D109" s="311">
        <v>3056</v>
      </c>
      <c r="E109" s="306">
        <f t="shared" si="10"/>
        <v>11.228389444949954</v>
      </c>
      <c r="F109" s="310">
        <v>7340.5</v>
      </c>
      <c r="G109" s="311">
        <v>7649</v>
      </c>
      <c r="H109" s="306">
        <f t="shared" si="11"/>
        <v>4.202710986989986</v>
      </c>
      <c r="I109" s="310">
        <v>3033</v>
      </c>
      <c r="J109" s="311">
        <v>3332.5</v>
      </c>
      <c r="K109" s="306">
        <f t="shared" si="14"/>
        <v>9.874711506758985</v>
      </c>
      <c r="L109" s="310">
        <v>7214.5</v>
      </c>
      <c r="M109" s="311">
        <v>7514</v>
      </c>
      <c r="N109" s="306">
        <f t="shared" si="15"/>
        <v>4.151361840737404</v>
      </c>
      <c r="O109" s="310"/>
      <c r="P109" s="311"/>
      <c r="Q109" s="306"/>
      <c r="R109" s="310"/>
      <c r="S109" s="311"/>
      <c r="T109" s="306"/>
      <c r="U109" s="310"/>
      <c r="V109" s="311"/>
      <c r="W109" s="306"/>
      <c r="X109" s="310"/>
      <c r="Y109" s="311"/>
      <c r="Z109" s="306"/>
      <c r="AA109" s="310"/>
      <c r="AB109" s="311"/>
      <c r="AC109" s="306"/>
      <c r="AD109" s="310"/>
      <c r="AE109" s="311"/>
      <c r="AF109" s="306"/>
      <c r="AG109" s="310"/>
      <c r="AH109" s="311"/>
      <c r="AI109" s="306"/>
      <c r="AJ109" s="310"/>
      <c r="AK109" s="311"/>
      <c r="AL109" s="306"/>
      <c r="AM109" s="310"/>
      <c r="AN109" s="311"/>
      <c r="AO109" s="306"/>
      <c r="AP109" s="310"/>
      <c r="AQ109" s="311"/>
      <c r="AR109" s="306"/>
      <c r="AS109" s="310"/>
      <c r="AT109" s="311"/>
      <c r="AU109" s="306"/>
      <c r="AV109" s="310"/>
      <c r="AW109" s="311"/>
      <c r="AX109" s="306"/>
      <c r="AY109" s="310"/>
      <c r="AZ109" s="311"/>
      <c r="BA109" s="306"/>
      <c r="BB109" s="310"/>
      <c r="BC109" s="311"/>
      <c r="BD109" s="306"/>
      <c r="BE109" s="312"/>
      <c r="BF109" s="312"/>
      <c r="BG109" s="312"/>
      <c r="BH109" s="312"/>
      <c r="BI109" s="312"/>
      <c r="BJ109" s="312"/>
      <c r="BK109" s="312"/>
      <c r="BL109" s="312"/>
      <c r="BM109" s="312"/>
      <c r="BN109" s="312"/>
      <c r="BO109" s="312"/>
      <c r="BP109" s="312"/>
      <c r="BQ109" s="312"/>
      <c r="BR109" s="312"/>
      <c r="BS109" s="312"/>
      <c r="BT109" s="312"/>
      <c r="BU109" s="312"/>
      <c r="BV109" s="312"/>
      <c r="BW109" s="312"/>
      <c r="BX109" s="312"/>
      <c r="BY109" s="312"/>
      <c r="BZ109" s="312"/>
      <c r="CA109" s="312"/>
      <c r="CB109" s="312"/>
      <c r="CC109" s="312"/>
      <c r="CD109" s="312"/>
      <c r="CE109" s="312"/>
      <c r="CF109" s="312"/>
      <c r="CG109" s="312"/>
      <c r="CH109" s="312"/>
      <c r="CI109" s="312"/>
      <c r="CJ109" s="312"/>
      <c r="CK109" s="312"/>
      <c r="CL109" s="312"/>
      <c r="CM109" s="312"/>
      <c r="CN109" s="312"/>
      <c r="CO109" s="312"/>
      <c r="CP109" s="312"/>
      <c r="CQ109" s="312"/>
      <c r="CR109" s="312"/>
    </row>
    <row r="110" spans="1:96" s="300" customFormat="1" ht="15.75" customHeight="1">
      <c r="A110" s="313"/>
      <c r="B110" s="305" t="s">
        <v>670</v>
      </c>
      <c r="C110" s="311"/>
      <c r="D110" s="311"/>
      <c r="E110" s="306">
        <f t="shared" si="10"/>
        <v>0</v>
      </c>
      <c r="F110" s="310"/>
      <c r="G110" s="311"/>
      <c r="H110" s="306">
        <f t="shared" si="11"/>
        <v>0</v>
      </c>
      <c r="I110" s="310"/>
      <c r="J110" s="311"/>
      <c r="K110" s="306">
        <f t="shared" si="14"/>
        <v>0</v>
      </c>
      <c r="L110" s="310"/>
      <c r="M110" s="311"/>
      <c r="N110" s="306">
        <f t="shared" si="15"/>
        <v>0</v>
      </c>
      <c r="O110" s="310"/>
      <c r="P110" s="311"/>
      <c r="Q110" s="306"/>
      <c r="R110" s="310"/>
      <c r="S110" s="311"/>
      <c r="T110" s="306"/>
      <c r="U110" s="310"/>
      <c r="V110" s="311"/>
      <c r="W110" s="306"/>
      <c r="X110" s="310"/>
      <c r="Y110" s="311"/>
      <c r="Z110" s="306"/>
      <c r="AA110" s="310"/>
      <c r="AB110" s="311"/>
      <c r="AC110" s="306"/>
      <c r="AD110" s="310"/>
      <c r="AE110" s="311"/>
      <c r="AF110" s="306"/>
      <c r="AG110" s="310"/>
      <c r="AH110" s="311"/>
      <c r="AI110" s="306"/>
      <c r="AJ110" s="310"/>
      <c r="AK110" s="311"/>
      <c r="AL110" s="306"/>
      <c r="AM110" s="310"/>
      <c r="AN110" s="311"/>
      <c r="AO110" s="306"/>
      <c r="AP110" s="310"/>
      <c r="AQ110" s="311"/>
      <c r="AR110" s="306"/>
      <c r="AS110" s="310"/>
      <c r="AT110" s="311"/>
      <c r="AU110" s="306"/>
      <c r="AV110" s="310"/>
      <c r="AW110" s="311"/>
      <c r="AX110" s="306"/>
      <c r="AY110" s="310"/>
      <c r="AZ110" s="311"/>
      <c r="BA110" s="306"/>
      <c r="BB110" s="310"/>
      <c r="BC110" s="311"/>
      <c r="BD110" s="306"/>
      <c r="BE110" s="312"/>
      <c r="BF110" s="312"/>
      <c r="BG110" s="312"/>
      <c r="BH110" s="312"/>
      <c r="BI110" s="312"/>
      <c r="BJ110" s="312"/>
      <c r="BK110" s="312"/>
      <c r="BL110" s="312"/>
      <c r="BM110" s="312"/>
      <c r="BN110" s="312"/>
      <c r="BO110" s="312"/>
      <c r="BP110" s="312"/>
      <c r="BQ110" s="312"/>
      <c r="BR110" s="312"/>
      <c r="BS110" s="312"/>
      <c r="BT110" s="312"/>
      <c r="BU110" s="312"/>
      <c r="BV110" s="312"/>
      <c r="BW110" s="312"/>
      <c r="BX110" s="312"/>
      <c r="BY110" s="312"/>
      <c r="BZ110" s="312"/>
      <c r="CA110" s="312"/>
      <c r="CB110" s="312"/>
      <c r="CC110" s="312"/>
      <c r="CD110" s="312"/>
      <c r="CE110" s="312"/>
      <c r="CF110" s="312"/>
      <c r="CG110" s="312"/>
      <c r="CH110" s="312"/>
      <c r="CI110" s="312"/>
      <c r="CJ110" s="312"/>
      <c r="CK110" s="312"/>
      <c r="CL110" s="312"/>
      <c r="CM110" s="312"/>
      <c r="CN110" s="312"/>
      <c r="CO110" s="312"/>
      <c r="CP110" s="312"/>
      <c r="CQ110" s="312"/>
      <c r="CR110" s="312"/>
    </row>
    <row r="111" spans="1:96" s="300" customFormat="1" ht="15.75" customHeight="1">
      <c r="A111" s="313"/>
      <c r="B111" s="305" t="s">
        <v>1041</v>
      </c>
      <c r="C111" s="311">
        <v>2928</v>
      </c>
      <c r="D111" s="311">
        <v>3240</v>
      </c>
      <c r="E111" s="306">
        <f t="shared" si="10"/>
        <v>10.655737704918032</v>
      </c>
      <c r="F111" s="310">
        <v>8810</v>
      </c>
      <c r="G111" s="311">
        <v>9133</v>
      </c>
      <c r="H111" s="306">
        <f t="shared" si="11"/>
        <v>3.6662883087400684</v>
      </c>
      <c r="I111" s="310">
        <v>2832</v>
      </c>
      <c r="J111" s="311">
        <v>3075</v>
      </c>
      <c r="K111" s="306">
        <f t="shared" si="14"/>
        <v>8.58050847457627</v>
      </c>
      <c r="L111" s="310">
        <v>8252</v>
      </c>
      <c r="M111" s="311">
        <v>8523</v>
      </c>
      <c r="N111" s="306">
        <f t="shared" si="15"/>
        <v>3.2840523509452253</v>
      </c>
      <c r="O111" s="310"/>
      <c r="P111" s="311"/>
      <c r="Q111" s="306"/>
      <c r="R111" s="310"/>
      <c r="S111" s="311"/>
      <c r="T111" s="306"/>
      <c r="U111" s="310"/>
      <c r="V111" s="311"/>
      <c r="W111" s="306"/>
      <c r="X111" s="310"/>
      <c r="Y111" s="311"/>
      <c r="Z111" s="306"/>
      <c r="AA111" s="310"/>
      <c r="AB111" s="311"/>
      <c r="AC111" s="306"/>
      <c r="AD111" s="310"/>
      <c r="AE111" s="311"/>
      <c r="AF111" s="306"/>
      <c r="AG111" s="310"/>
      <c r="AH111" s="311"/>
      <c r="AI111" s="306"/>
      <c r="AJ111" s="310"/>
      <c r="AK111" s="311"/>
      <c r="AL111" s="306"/>
      <c r="AM111" s="310"/>
      <c r="AN111" s="311"/>
      <c r="AO111" s="306"/>
      <c r="AP111" s="310"/>
      <c r="AQ111" s="311"/>
      <c r="AR111" s="306"/>
      <c r="AS111" s="310"/>
      <c r="AT111" s="311"/>
      <c r="AU111" s="306"/>
      <c r="AV111" s="310"/>
      <c r="AW111" s="311"/>
      <c r="AX111" s="306"/>
      <c r="AY111" s="310"/>
      <c r="AZ111" s="311"/>
      <c r="BA111" s="306"/>
      <c r="BB111" s="310"/>
      <c r="BC111" s="311"/>
      <c r="BD111" s="306"/>
      <c r="BE111" s="312"/>
      <c r="BF111" s="312"/>
      <c r="BG111" s="312"/>
      <c r="BH111" s="312"/>
      <c r="BI111" s="312"/>
      <c r="BJ111" s="312"/>
      <c r="BK111" s="312"/>
      <c r="BL111" s="312"/>
      <c r="BM111" s="312"/>
      <c r="BN111" s="312"/>
      <c r="BO111" s="312"/>
      <c r="BP111" s="312"/>
      <c r="BQ111" s="312"/>
      <c r="BR111" s="312"/>
      <c r="BS111" s="312"/>
      <c r="BT111" s="312"/>
      <c r="BU111" s="312"/>
      <c r="BV111" s="312"/>
      <c r="BW111" s="312"/>
      <c r="BX111" s="312"/>
      <c r="BY111" s="312"/>
      <c r="BZ111" s="312"/>
      <c r="CA111" s="312"/>
      <c r="CB111" s="312"/>
      <c r="CC111" s="312"/>
      <c r="CD111" s="312"/>
      <c r="CE111" s="312"/>
      <c r="CF111" s="312"/>
      <c r="CG111" s="312"/>
      <c r="CH111" s="312"/>
      <c r="CI111" s="312"/>
      <c r="CJ111" s="312"/>
      <c r="CK111" s="312"/>
      <c r="CL111" s="312"/>
      <c r="CM111" s="312"/>
      <c r="CN111" s="312"/>
      <c r="CO111" s="312"/>
      <c r="CP111" s="312"/>
      <c r="CQ111" s="312"/>
      <c r="CR111" s="312"/>
    </row>
    <row r="112" spans="1:96" s="300" customFormat="1" ht="15.75" customHeight="1">
      <c r="A112" s="313"/>
      <c r="B112" s="305" t="s">
        <v>671</v>
      </c>
      <c r="C112" s="311"/>
      <c r="D112" s="311"/>
      <c r="E112" s="306">
        <f t="shared" si="10"/>
        <v>0</v>
      </c>
      <c r="F112" s="310"/>
      <c r="G112" s="311"/>
      <c r="H112" s="306">
        <f t="shared" si="11"/>
        <v>0</v>
      </c>
      <c r="I112" s="310"/>
      <c r="J112" s="311"/>
      <c r="K112" s="306"/>
      <c r="L112" s="310"/>
      <c r="M112" s="311"/>
      <c r="N112" s="306"/>
      <c r="O112" s="310"/>
      <c r="P112" s="311"/>
      <c r="Q112" s="306"/>
      <c r="R112" s="310"/>
      <c r="S112" s="311"/>
      <c r="T112" s="306"/>
      <c r="U112" s="310"/>
      <c r="V112" s="311"/>
      <c r="W112" s="306"/>
      <c r="X112" s="310"/>
      <c r="Y112" s="311"/>
      <c r="Z112" s="306"/>
      <c r="AA112" s="310"/>
      <c r="AB112" s="311"/>
      <c r="AC112" s="306"/>
      <c r="AD112" s="310"/>
      <c r="AE112" s="311"/>
      <c r="AF112" s="306"/>
      <c r="AG112" s="310"/>
      <c r="AH112" s="311"/>
      <c r="AI112" s="306"/>
      <c r="AJ112" s="310"/>
      <c r="AK112" s="311"/>
      <c r="AL112" s="306"/>
      <c r="AM112" s="310"/>
      <c r="AN112" s="311"/>
      <c r="AO112" s="306"/>
      <c r="AP112" s="310"/>
      <c r="AQ112" s="311"/>
      <c r="AR112" s="306"/>
      <c r="AS112" s="310"/>
      <c r="AT112" s="311"/>
      <c r="AU112" s="306"/>
      <c r="AV112" s="310"/>
      <c r="AW112" s="311"/>
      <c r="AX112" s="306"/>
      <c r="AY112" s="310"/>
      <c r="AZ112" s="311"/>
      <c r="BA112" s="306"/>
      <c r="BB112" s="310"/>
      <c r="BC112" s="311"/>
      <c r="BD112" s="306"/>
      <c r="BE112" s="312"/>
      <c r="BF112" s="312"/>
      <c r="BG112" s="312"/>
      <c r="BH112" s="312"/>
      <c r="BI112" s="312"/>
      <c r="BJ112" s="312"/>
      <c r="BK112" s="312"/>
      <c r="BL112" s="312"/>
      <c r="BM112" s="312"/>
      <c r="BN112" s="312"/>
      <c r="BO112" s="312"/>
      <c r="BP112" s="312"/>
      <c r="BQ112" s="312"/>
      <c r="BR112" s="312"/>
      <c r="BS112" s="312"/>
      <c r="BT112" s="312"/>
      <c r="BU112" s="312"/>
      <c r="BV112" s="312"/>
      <c r="BW112" s="312"/>
      <c r="BX112" s="312"/>
      <c r="BY112" s="312"/>
      <c r="BZ112" s="312"/>
      <c r="CA112" s="312"/>
      <c r="CB112" s="312"/>
      <c r="CC112" s="312"/>
      <c r="CD112" s="312"/>
      <c r="CE112" s="312"/>
      <c r="CF112" s="312"/>
      <c r="CG112" s="312"/>
      <c r="CH112" s="312"/>
      <c r="CI112" s="312"/>
      <c r="CJ112" s="312"/>
      <c r="CK112" s="312"/>
      <c r="CL112" s="312"/>
      <c r="CM112" s="312"/>
      <c r="CN112" s="312"/>
      <c r="CO112" s="312"/>
      <c r="CP112" s="312"/>
      <c r="CQ112" s="312"/>
      <c r="CR112" s="312"/>
    </row>
    <row r="113" spans="1:96" s="300" customFormat="1" ht="15.75" customHeight="1">
      <c r="A113" s="313"/>
      <c r="B113" s="305" t="s">
        <v>672</v>
      </c>
      <c r="C113" s="311">
        <v>1750</v>
      </c>
      <c r="D113" s="311">
        <v>1844</v>
      </c>
      <c r="E113" s="306">
        <f t="shared" si="10"/>
        <v>5.371428571428572</v>
      </c>
      <c r="F113" s="310">
        <v>4730</v>
      </c>
      <c r="G113" s="311">
        <v>4824</v>
      </c>
      <c r="H113" s="306">
        <f t="shared" si="11"/>
        <v>1.9873150105708246</v>
      </c>
      <c r="I113" s="310"/>
      <c r="J113" s="311"/>
      <c r="K113" s="306"/>
      <c r="L113" s="310"/>
      <c r="M113" s="311"/>
      <c r="N113" s="306"/>
      <c r="O113" s="310"/>
      <c r="P113" s="311"/>
      <c r="Q113" s="306"/>
      <c r="R113" s="310"/>
      <c r="S113" s="311"/>
      <c r="T113" s="306"/>
      <c r="U113" s="310"/>
      <c r="V113" s="311"/>
      <c r="W113" s="306"/>
      <c r="X113" s="310"/>
      <c r="Y113" s="311"/>
      <c r="Z113" s="306"/>
      <c r="AA113" s="310"/>
      <c r="AB113" s="311"/>
      <c r="AC113" s="306"/>
      <c r="AD113" s="310"/>
      <c r="AE113" s="311"/>
      <c r="AF113" s="306"/>
      <c r="AG113" s="310"/>
      <c r="AH113" s="311"/>
      <c r="AI113" s="306"/>
      <c r="AJ113" s="310"/>
      <c r="AK113" s="311"/>
      <c r="AL113" s="306"/>
      <c r="AM113" s="310"/>
      <c r="AN113" s="311"/>
      <c r="AO113" s="306"/>
      <c r="AP113" s="310"/>
      <c r="AQ113" s="311"/>
      <c r="AR113" s="306"/>
      <c r="AS113" s="310"/>
      <c r="AT113" s="311"/>
      <c r="AU113" s="306"/>
      <c r="AV113" s="310"/>
      <c r="AW113" s="311"/>
      <c r="AX113" s="306"/>
      <c r="AY113" s="310"/>
      <c r="AZ113" s="311"/>
      <c r="BA113" s="306"/>
      <c r="BB113" s="310"/>
      <c r="BC113" s="311"/>
      <c r="BD113" s="306"/>
      <c r="BE113" s="312"/>
      <c r="BF113" s="312"/>
      <c r="BG113" s="312"/>
      <c r="BH113" s="312"/>
      <c r="BI113" s="312"/>
      <c r="BJ113" s="312"/>
      <c r="BK113" s="312"/>
      <c r="BL113" s="312"/>
      <c r="BM113" s="312"/>
      <c r="BN113" s="312"/>
      <c r="BO113" s="312"/>
      <c r="BP113" s="312"/>
      <c r="BQ113" s="312"/>
      <c r="BR113" s="312"/>
      <c r="BS113" s="312"/>
      <c r="BT113" s="312"/>
      <c r="BU113" s="312"/>
      <c r="BV113" s="312"/>
      <c r="BW113" s="312"/>
      <c r="BX113" s="312"/>
      <c r="BY113" s="312"/>
      <c r="BZ113" s="312"/>
      <c r="CA113" s="312"/>
      <c r="CB113" s="312"/>
      <c r="CC113" s="312"/>
      <c r="CD113" s="312"/>
      <c r="CE113" s="312"/>
      <c r="CF113" s="312"/>
      <c r="CG113" s="312"/>
      <c r="CH113" s="312"/>
      <c r="CI113" s="312"/>
      <c r="CJ113" s="312"/>
      <c r="CK113" s="312"/>
      <c r="CL113" s="312"/>
      <c r="CM113" s="312"/>
      <c r="CN113" s="312"/>
      <c r="CO113" s="312"/>
      <c r="CP113" s="312"/>
      <c r="CQ113" s="312"/>
      <c r="CR113" s="312"/>
    </row>
    <row r="114" spans="1:96" s="300" customFormat="1" ht="15.75" customHeight="1">
      <c r="A114" s="313"/>
      <c r="B114" s="305" t="s">
        <v>673</v>
      </c>
      <c r="C114" s="311">
        <v>1596</v>
      </c>
      <c r="D114" s="311">
        <v>1682</v>
      </c>
      <c r="E114" s="306">
        <f t="shared" si="10"/>
        <v>5.3884711779448615</v>
      </c>
      <c r="F114" s="310">
        <v>4146</v>
      </c>
      <c r="G114" s="311">
        <v>4362</v>
      </c>
      <c r="H114" s="306">
        <f t="shared" si="11"/>
        <v>5.209840810419681</v>
      </c>
      <c r="I114" s="310"/>
      <c r="J114" s="311"/>
      <c r="K114" s="306"/>
      <c r="L114" s="310"/>
      <c r="M114" s="311"/>
      <c r="N114" s="306"/>
      <c r="O114" s="310"/>
      <c r="P114" s="311"/>
      <c r="Q114" s="306"/>
      <c r="R114" s="310"/>
      <c r="S114" s="311"/>
      <c r="T114" s="306"/>
      <c r="U114" s="310"/>
      <c r="V114" s="311"/>
      <c r="W114" s="306"/>
      <c r="X114" s="310"/>
      <c r="Y114" s="311"/>
      <c r="Z114" s="306"/>
      <c r="AA114" s="310"/>
      <c r="AB114" s="311"/>
      <c r="AC114" s="306"/>
      <c r="AD114" s="310"/>
      <c r="AE114" s="311"/>
      <c r="AF114" s="306"/>
      <c r="AG114" s="310"/>
      <c r="AH114" s="311"/>
      <c r="AI114" s="306"/>
      <c r="AJ114" s="310"/>
      <c r="AK114" s="311"/>
      <c r="AL114" s="306"/>
      <c r="AM114" s="310"/>
      <c r="AN114" s="311"/>
      <c r="AO114" s="306"/>
      <c r="AP114" s="310"/>
      <c r="AQ114" s="311"/>
      <c r="AR114" s="306"/>
      <c r="AS114" s="310"/>
      <c r="AT114" s="311"/>
      <c r="AU114" s="306"/>
      <c r="AV114" s="310"/>
      <c r="AW114" s="311"/>
      <c r="AX114" s="306"/>
      <c r="AY114" s="310"/>
      <c r="AZ114" s="311"/>
      <c r="BA114" s="306"/>
      <c r="BB114" s="310"/>
      <c r="BC114" s="311"/>
      <c r="BD114" s="306"/>
      <c r="BE114" s="312"/>
      <c r="BF114" s="312"/>
      <c r="BG114" s="312"/>
      <c r="BH114" s="312"/>
      <c r="BI114" s="312"/>
      <c r="BJ114" s="312"/>
      <c r="BK114" s="312"/>
      <c r="BL114" s="312"/>
      <c r="BM114" s="312"/>
      <c r="BN114" s="312"/>
      <c r="BO114" s="312"/>
      <c r="BP114" s="312"/>
      <c r="BQ114" s="312"/>
      <c r="BR114" s="312"/>
      <c r="BS114" s="312"/>
      <c r="BT114" s="312"/>
      <c r="BU114" s="312"/>
      <c r="BV114" s="312"/>
      <c r="BW114" s="312"/>
      <c r="BX114" s="312"/>
      <c r="BY114" s="312"/>
      <c r="BZ114" s="312"/>
      <c r="CA114" s="312"/>
      <c r="CB114" s="312"/>
      <c r="CC114" s="312"/>
      <c r="CD114" s="312"/>
      <c r="CE114" s="312"/>
      <c r="CF114" s="312"/>
      <c r="CG114" s="312"/>
      <c r="CH114" s="312"/>
      <c r="CI114" s="312"/>
      <c r="CJ114" s="312"/>
      <c r="CK114" s="312"/>
      <c r="CL114" s="312"/>
      <c r="CM114" s="312"/>
      <c r="CN114" s="312"/>
      <c r="CO114" s="312"/>
      <c r="CP114" s="312"/>
      <c r="CQ114" s="312"/>
      <c r="CR114" s="312"/>
    </row>
    <row r="115" spans="1:96" s="300" customFormat="1" ht="15.75" customHeight="1">
      <c r="A115" s="313"/>
      <c r="B115" s="305" t="s">
        <v>76</v>
      </c>
      <c r="C115" s="311">
        <v>1708</v>
      </c>
      <c r="D115" s="311">
        <v>1852</v>
      </c>
      <c r="E115" s="306">
        <f t="shared" si="10"/>
        <v>8.430913348946136</v>
      </c>
      <c r="F115" s="310">
        <v>3988</v>
      </c>
      <c r="G115" s="311">
        <v>4099</v>
      </c>
      <c r="H115" s="306">
        <f t="shared" si="11"/>
        <v>2.7833500501504513</v>
      </c>
      <c r="I115" s="310"/>
      <c r="J115" s="311"/>
      <c r="K115" s="306"/>
      <c r="L115" s="310"/>
      <c r="M115" s="311"/>
      <c r="N115" s="306"/>
      <c r="O115" s="310"/>
      <c r="P115" s="311"/>
      <c r="Q115" s="306"/>
      <c r="R115" s="310"/>
      <c r="S115" s="311"/>
      <c r="T115" s="306"/>
      <c r="U115" s="310"/>
      <c r="V115" s="311"/>
      <c r="W115" s="306"/>
      <c r="X115" s="310"/>
      <c r="Y115" s="311"/>
      <c r="Z115" s="306"/>
      <c r="AA115" s="310"/>
      <c r="AB115" s="311"/>
      <c r="AC115" s="306"/>
      <c r="AD115" s="310"/>
      <c r="AE115" s="311"/>
      <c r="AF115" s="306"/>
      <c r="AG115" s="310"/>
      <c r="AH115" s="311"/>
      <c r="AI115" s="306"/>
      <c r="AJ115" s="310"/>
      <c r="AK115" s="311"/>
      <c r="AL115" s="306"/>
      <c r="AM115" s="310"/>
      <c r="AN115" s="311"/>
      <c r="AO115" s="306"/>
      <c r="AP115" s="310"/>
      <c r="AQ115" s="311"/>
      <c r="AR115" s="306"/>
      <c r="AS115" s="310"/>
      <c r="AT115" s="311"/>
      <c r="AU115" s="306"/>
      <c r="AV115" s="310"/>
      <c r="AW115" s="311"/>
      <c r="AX115" s="306"/>
      <c r="AY115" s="310"/>
      <c r="AZ115" s="311"/>
      <c r="BA115" s="306"/>
      <c r="BB115" s="310"/>
      <c r="BC115" s="311"/>
      <c r="BD115" s="306"/>
      <c r="BE115" s="312"/>
      <c r="BF115" s="312"/>
      <c r="BG115" s="312"/>
      <c r="BH115" s="312"/>
      <c r="BI115" s="312"/>
      <c r="BJ115" s="312"/>
      <c r="BK115" s="312"/>
      <c r="BL115" s="312"/>
      <c r="BM115" s="312"/>
      <c r="BN115" s="312"/>
      <c r="BO115" s="312"/>
      <c r="BP115" s="312"/>
      <c r="BQ115" s="312"/>
      <c r="BR115" s="312"/>
      <c r="BS115" s="312"/>
      <c r="BT115" s="312"/>
      <c r="BU115" s="312"/>
      <c r="BV115" s="312"/>
      <c r="BW115" s="312"/>
      <c r="BX115" s="312"/>
      <c r="BY115" s="312"/>
      <c r="BZ115" s="312"/>
      <c r="CA115" s="312"/>
      <c r="CB115" s="312"/>
      <c r="CC115" s="312"/>
      <c r="CD115" s="312"/>
      <c r="CE115" s="312"/>
      <c r="CF115" s="312"/>
      <c r="CG115" s="312"/>
      <c r="CH115" s="312"/>
      <c r="CI115" s="312"/>
      <c r="CJ115" s="312"/>
      <c r="CK115" s="312"/>
      <c r="CL115" s="312"/>
      <c r="CM115" s="312"/>
      <c r="CN115" s="312"/>
      <c r="CO115" s="312"/>
      <c r="CP115" s="312"/>
      <c r="CQ115" s="312"/>
      <c r="CR115" s="312"/>
    </row>
    <row r="116" spans="1:96" s="300" customFormat="1" ht="15.75" customHeight="1" thickBot="1">
      <c r="A116" s="313"/>
      <c r="B116" s="305" t="s">
        <v>473</v>
      </c>
      <c r="C116" s="311">
        <v>1708</v>
      </c>
      <c r="D116" s="311">
        <v>1836</v>
      </c>
      <c r="E116" s="306">
        <f t="shared" si="10"/>
        <v>7.494145199063232</v>
      </c>
      <c r="F116" s="310">
        <v>4135</v>
      </c>
      <c r="G116" s="311">
        <v>4300</v>
      </c>
      <c r="H116" s="306">
        <f t="shared" si="11"/>
        <v>3.990326481257558</v>
      </c>
      <c r="I116" s="310"/>
      <c r="J116" s="311"/>
      <c r="K116" s="306"/>
      <c r="L116" s="310"/>
      <c r="M116" s="311"/>
      <c r="N116" s="306"/>
      <c r="O116" s="310"/>
      <c r="P116" s="311"/>
      <c r="Q116" s="306"/>
      <c r="R116" s="310"/>
      <c r="S116" s="311"/>
      <c r="T116" s="306"/>
      <c r="U116" s="310"/>
      <c r="V116" s="311"/>
      <c r="W116" s="306"/>
      <c r="X116" s="310"/>
      <c r="Y116" s="311"/>
      <c r="Z116" s="306"/>
      <c r="AA116" s="310"/>
      <c r="AB116" s="311"/>
      <c r="AC116" s="306"/>
      <c r="AD116" s="310"/>
      <c r="AE116" s="311"/>
      <c r="AF116" s="306"/>
      <c r="AG116" s="310"/>
      <c r="AH116" s="311"/>
      <c r="AI116" s="306"/>
      <c r="AJ116" s="310"/>
      <c r="AK116" s="311"/>
      <c r="AL116" s="306"/>
      <c r="AM116" s="310"/>
      <c r="AN116" s="311"/>
      <c r="AO116" s="306"/>
      <c r="AP116" s="310"/>
      <c r="AQ116" s="311"/>
      <c r="AR116" s="306"/>
      <c r="AS116" s="310"/>
      <c r="AT116" s="311"/>
      <c r="AU116" s="306"/>
      <c r="AV116" s="310"/>
      <c r="AW116" s="311"/>
      <c r="AX116" s="306"/>
      <c r="AY116" s="310"/>
      <c r="AZ116" s="311"/>
      <c r="BA116" s="306"/>
      <c r="BB116" s="310"/>
      <c r="BC116" s="311"/>
      <c r="BD116" s="306"/>
      <c r="BE116" s="312"/>
      <c r="BF116" s="312"/>
      <c r="BG116" s="312"/>
      <c r="BH116" s="312"/>
      <c r="BI116" s="312"/>
      <c r="BJ116" s="312"/>
      <c r="BK116" s="312"/>
      <c r="BL116" s="312"/>
      <c r="BM116" s="312"/>
      <c r="BN116" s="312"/>
      <c r="BO116" s="312"/>
      <c r="BP116" s="312"/>
      <c r="BQ116" s="312"/>
      <c r="BR116" s="312"/>
      <c r="BS116" s="312"/>
      <c r="BT116" s="312"/>
      <c r="BU116" s="312"/>
      <c r="BV116" s="312"/>
      <c r="BW116" s="312"/>
      <c r="BX116" s="312"/>
      <c r="BY116" s="312"/>
      <c r="BZ116" s="312"/>
      <c r="CA116" s="312"/>
      <c r="CB116" s="312"/>
      <c r="CC116" s="312"/>
      <c r="CD116" s="312"/>
      <c r="CE116" s="312"/>
      <c r="CF116" s="312"/>
      <c r="CG116" s="312"/>
      <c r="CH116" s="312"/>
      <c r="CI116" s="312"/>
      <c r="CJ116" s="312"/>
      <c r="CK116" s="312"/>
      <c r="CL116" s="312"/>
      <c r="CM116" s="312"/>
      <c r="CN116" s="312"/>
      <c r="CO116" s="312"/>
      <c r="CP116" s="312"/>
      <c r="CQ116" s="312"/>
      <c r="CR116" s="312"/>
    </row>
    <row r="117" spans="1:96" s="300" customFormat="1" ht="15.75" customHeight="1" thickBot="1">
      <c r="A117" s="313"/>
      <c r="B117" s="305" t="s">
        <v>77</v>
      </c>
      <c r="C117" s="308">
        <v>666</v>
      </c>
      <c r="D117" s="308">
        <v>956</v>
      </c>
      <c r="E117" s="309">
        <f>IF(C117&gt;0,(((D117-C117)/C117)*100),0)</f>
        <v>43.54354354354354</v>
      </c>
      <c r="F117" s="307">
        <v>1154</v>
      </c>
      <c r="G117" s="308">
        <v>1724</v>
      </c>
      <c r="H117" s="309">
        <f>IF(F117&gt;0,(((G117-F117)/F117)*100),0)</f>
        <v>49.393414211438476</v>
      </c>
      <c r="I117" s="310"/>
      <c r="J117" s="311"/>
      <c r="K117" s="306"/>
      <c r="L117" s="310"/>
      <c r="M117" s="311"/>
      <c r="N117" s="306"/>
      <c r="O117" s="310"/>
      <c r="P117" s="311"/>
      <c r="Q117" s="306"/>
      <c r="R117" s="310"/>
      <c r="S117" s="311"/>
      <c r="T117" s="306"/>
      <c r="U117" s="310"/>
      <c r="V117" s="311"/>
      <c r="W117" s="306"/>
      <c r="X117" s="310"/>
      <c r="Y117" s="311"/>
      <c r="Z117" s="306"/>
      <c r="AA117" s="310"/>
      <c r="AB117" s="311"/>
      <c r="AC117" s="306"/>
      <c r="AD117" s="310"/>
      <c r="AE117" s="311"/>
      <c r="AF117" s="306"/>
      <c r="AG117" s="310"/>
      <c r="AH117" s="311"/>
      <c r="AI117" s="306"/>
      <c r="AJ117" s="310"/>
      <c r="AK117" s="311"/>
      <c r="AL117" s="306"/>
      <c r="AM117" s="310"/>
      <c r="AN117" s="311"/>
      <c r="AO117" s="306"/>
      <c r="AP117" s="310"/>
      <c r="AQ117" s="311"/>
      <c r="AR117" s="306"/>
      <c r="AS117" s="310"/>
      <c r="AT117" s="311"/>
      <c r="AU117" s="306"/>
      <c r="AV117" s="310"/>
      <c r="AW117" s="311"/>
      <c r="AX117" s="306"/>
      <c r="AY117" s="310"/>
      <c r="AZ117" s="311"/>
      <c r="BA117" s="306"/>
      <c r="BB117" s="310"/>
      <c r="BC117" s="311"/>
      <c r="BD117" s="306"/>
      <c r="BE117" s="312"/>
      <c r="BF117" s="312"/>
      <c r="BG117" s="312"/>
      <c r="BH117" s="312"/>
      <c r="BI117" s="312"/>
      <c r="BJ117" s="312"/>
      <c r="BK117" s="312"/>
      <c r="BL117" s="312"/>
      <c r="BM117" s="312"/>
      <c r="BN117" s="312"/>
      <c r="BO117" s="312"/>
      <c r="BP117" s="312"/>
      <c r="BQ117" s="312"/>
      <c r="BR117" s="312"/>
      <c r="BS117" s="312"/>
      <c r="BT117" s="312"/>
      <c r="BU117" s="312"/>
      <c r="BV117" s="312"/>
      <c r="BW117" s="312"/>
      <c r="BX117" s="312"/>
      <c r="BY117" s="312"/>
      <c r="BZ117" s="312"/>
      <c r="CA117" s="312"/>
      <c r="CB117" s="312"/>
      <c r="CC117" s="312"/>
      <c r="CD117" s="312"/>
      <c r="CE117" s="312"/>
      <c r="CF117" s="312"/>
      <c r="CG117" s="312"/>
      <c r="CH117" s="312"/>
      <c r="CI117" s="312"/>
      <c r="CJ117" s="312"/>
      <c r="CK117" s="312"/>
      <c r="CL117" s="312"/>
      <c r="CM117" s="312"/>
      <c r="CN117" s="312"/>
      <c r="CO117" s="312"/>
      <c r="CP117" s="312"/>
      <c r="CQ117" s="312"/>
      <c r="CR117" s="312"/>
    </row>
    <row r="118" spans="1:96" s="300" customFormat="1" ht="15.75" customHeight="1" thickBot="1">
      <c r="A118" s="313"/>
      <c r="B118" s="305" t="s">
        <v>63</v>
      </c>
      <c r="C118" s="308">
        <v>666</v>
      </c>
      <c r="D118" s="308">
        <v>966</v>
      </c>
      <c r="E118" s="309">
        <f>IF(C118&gt;0,(((D118-C118)/C118)*100),0)</f>
        <v>45.04504504504504</v>
      </c>
      <c r="F118" s="307">
        <v>1154</v>
      </c>
      <c r="G118" s="308">
        <v>1622</v>
      </c>
      <c r="H118" s="309">
        <f>IF(F118&gt;0,(((G118-F118)/F118)*100),0)</f>
        <v>40.55459272097054</v>
      </c>
      <c r="I118" s="310"/>
      <c r="J118" s="311"/>
      <c r="K118" s="306"/>
      <c r="L118" s="310"/>
      <c r="M118" s="311"/>
      <c r="N118" s="306"/>
      <c r="O118" s="310"/>
      <c r="P118" s="311"/>
      <c r="Q118" s="306"/>
      <c r="R118" s="310"/>
      <c r="S118" s="311"/>
      <c r="T118" s="306"/>
      <c r="U118" s="310"/>
      <c r="V118" s="311"/>
      <c r="W118" s="306"/>
      <c r="X118" s="310"/>
      <c r="Y118" s="311"/>
      <c r="Z118" s="306"/>
      <c r="AA118" s="310"/>
      <c r="AB118" s="311"/>
      <c r="AC118" s="306"/>
      <c r="AD118" s="310"/>
      <c r="AE118" s="311"/>
      <c r="AF118" s="306"/>
      <c r="AG118" s="310"/>
      <c r="AH118" s="311"/>
      <c r="AI118" s="306"/>
      <c r="AJ118" s="310"/>
      <c r="AK118" s="311"/>
      <c r="AL118" s="306"/>
      <c r="AM118" s="310"/>
      <c r="AN118" s="311"/>
      <c r="AO118" s="306"/>
      <c r="AP118" s="310"/>
      <c r="AQ118" s="311"/>
      <c r="AR118" s="306"/>
      <c r="AS118" s="310"/>
      <c r="AT118" s="311"/>
      <c r="AU118" s="306"/>
      <c r="AV118" s="310"/>
      <c r="AW118" s="311"/>
      <c r="AX118" s="306"/>
      <c r="AY118" s="310"/>
      <c r="AZ118" s="311"/>
      <c r="BA118" s="306"/>
      <c r="BB118" s="310"/>
      <c r="BC118" s="311"/>
      <c r="BD118" s="306"/>
      <c r="BE118" s="312"/>
      <c r="BF118" s="312"/>
      <c r="BG118" s="312"/>
      <c r="BH118" s="312"/>
      <c r="BI118" s="312"/>
      <c r="BJ118" s="312"/>
      <c r="BK118" s="312"/>
      <c r="BL118" s="312"/>
      <c r="BM118" s="312"/>
      <c r="BN118" s="312"/>
      <c r="BO118" s="312"/>
      <c r="BP118" s="312"/>
      <c r="BQ118" s="312"/>
      <c r="BR118" s="312"/>
      <c r="BS118" s="312"/>
      <c r="BT118" s="312"/>
      <c r="BU118" s="312"/>
      <c r="BV118" s="312"/>
      <c r="BW118" s="312"/>
      <c r="BX118" s="312"/>
      <c r="BY118" s="312"/>
      <c r="BZ118" s="312"/>
      <c r="CA118" s="312"/>
      <c r="CB118" s="312"/>
      <c r="CC118" s="312"/>
      <c r="CD118" s="312"/>
      <c r="CE118" s="312"/>
      <c r="CF118" s="312"/>
      <c r="CG118" s="312"/>
      <c r="CH118" s="312"/>
      <c r="CI118" s="312"/>
      <c r="CJ118" s="312"/>
      <c r="CK118" s="312"/>
      <c r="CL118" s="312"/>
      <c r="CM118" s="312"/>
      <c r="CN118" s="312"/>
      <c r="CO118" s="312"/>
      <c r="CP118" s="312"/>
      <c r="CQ118" s="312"/>
      <c r="CR118" s="312"/>
    </row>
    <row r="119" spans="1:96" s="300" customFormat="1" ht="15.75" customHeight="1" thickBot="1">
      <c r="A119" s="313"/>
      <c r="B119" s="305" t="s">
        <v>64</v>
      </c>
      <c r="C119" s="308">
        <v>681</v>
      </c>
      <c r="D119" s="308">
        <v>927</v>
      </c>
      <c r="E119" s="309">
        <f>IF(C119&gt;0,(((D119-C119)/C119)*100),0)</f>
        <v>36.12334801762114</v>
      </c>
      <c r="F119" s="307">
        <v>1169</v>
      </c>
      <c r="G119" s="308">
        <v>1455</v>
      </c>
      <c r="H119" s="309">
        <f>IF(F119&gt;0,(((G119-F119)/F119)*100),0)</f>
        <v>24.46535500427716</v>
      </c>
      <c r="I119" s="310"/>
      <c r="J119" s="311"/>
      <c r="K119" s="306"/>
      <c r="L119" s="310"/>
      <c r="M119" s="311"/>
      <c r="N119" s="306"/>
      <c r="O119" s="310"/>
      <c r="P119" s="311"/>
      <c r="Q119" s="306"/>
      <c r="R119" s="310"/>
      <c r="S119" s="311"/>
      <c r="T119" s="306"/>
      <c r="U119" s="310"/>
      <c r="V119" s="311"/>
      <c r="W119" s="306"/>
      <c r="X119" s="310"/>
      <c r="Y119" s="311"/>
      <c r="Z119" s="306"/>
      <c r="AA119" s="310"/>
      <c r="AB119" s="311"/>
      <c r="AC119" s="306"/>
      <c r="AD119" s="310"/>
      <c r="AE119" s="311"/>
      <c r="AF119" s="306"/>
      <c r="AG119" s="310"/>
      <c r="AH119" s="311"/>
      <c r="AI119" s="306"/>
      <c r="AJ119" s="310"/>
      <c r="AK119" s="311"/>
      <c r="AL119" s="306"/>
      <c r="AM119" s="310"/>
      <c r="AN119" s="311"/>
      <c r="AO119" s="306"/>
      <c r="AP119" s="310"/>
      <c r="AQ119" s="311"/>
      <c r="AR119" s="306"/>
      <c r="AS119" s="310"/>
      <c r="AT119" s="311"/>
      <c r="AU119" s="306"/>
      <c r="AV119" s="310"/>
      <c r="AW119" s="311"/>
      <c r="AX119" s="306"/>
      <c r="AY119" s="310"/>
      <c r="AZ119" s="311"/>
      <c r="BA119" s="306"/>
      <c r="BB119" s="310"/>
      <c r="BC119" s="311"/>
      <c r="BD119" s="306"/>
      <c r="BE119" s="312"/>
      <c r="BF119" s="312"/>
      <c r="BG119" s="312"/>
      <c r="BH119" s="312"/>
      <c r="BI119" s="312"/>
      <c r="BJ119" s="312"/>
      <c r="BK119" s="312"/>
      <c r="BL119" s="312"/>
      <c r="BM119" s="312"/>
      <c r="BN119" s="312"/>
      <c r="BO119" s="312"/>
      <c r="BP119" s="312"/>
      <c r="BQ119" s="312"/>
      <c r="BR119" s="312"/>
      <c r="BS119" s="312"/>
      <c r="BT119" s="312"/>
      <c r="BU119" s="312"/>
      <c r="BV119" s="312"/>
      <c r="BW119" s="312"/>
      <c r="BX119" s="312"/>
      <c r="BY119" s="312"/>
      <c r="BZ119" s="312"/>
      <c r="CA119" s="312"/>
      <c r="CB119" s="312"/>
      <c r="CC119" s="312"/>
      <c r="CD119" s="312"/>
      <c r="CE119" s="312"/>
      <c r="CF119" s="312"/>
      <c r="CG119" s="312"/>
      <c r="CH119" s="312"/>
      <c r="CI119" s="312"/>
      <c r="CJ119" s="312"/>
      <c r="CK119" s="312"/>
      <c r="CL119" s="312"/>
      <c r="CM119" s="312"/>
      <c r="CN119" s="312"/>
      <c r="CO119" s="312"/>
      <c r="CP119" s="312"/>
      <c r="CQ119" s="312"/>
      <c r="CR119" s="312"/>
    </row>
    <row r="120" spans="1:96" s="300" customFormat="1" ht="15.75" customHeight="1" thickBot="1">
      <c r="A120" s="313"/>
      <c r="B120" s="305" t="s">
        <v>970</v>
      </c>
      <c r="C120" s="308">
        <v>681</v>
      </c>
      <c r="D120" s="308">
        <v>927</v>
      </c>
      <c r="E120" s="309">
        <f>IF(C120&gt;0,(((D120-C120)/C120)*100),0)</f>
        <v>36.12334801762114</v>
      </c>
      <c r="F120" s="307">
        <v>1169</v>
      </c>
      <c r="G120" s="308">
        <v>1455</v>
      </c>
      <c r="H120" s="309">
        <f>IF(F120&gt;0,(((G120-F120)/F120)*100),0)</f>
        <v>24.46535500427716</v>
      </c>
      <c r="I120" s="310"/>
      <c r="J120" s="311"/>
      <c r="K120" s="306"/>
      <c r="L120" s="310"/>
      <c r="M120" s="311"/>
      <c r="N120" s="306"/>
      <c r="O120" s="310"/>
      <c r="P120" s="311"/>
      <c r="Q120" s="306"/>
      <c r="R120" s="310"/>
      <c r="S120" s="311"/>
      <c r="T120" s="306"/>
      <c r="U120" s="310"/>
      <c r="V120" s="311"/>
      <c r="W120" s="306"/>
      <c r="X120" s="310"/>
      <c r="Y120" s="311"/>
      <c r="Z120" s="306"/>
      <c r="AA120" s="310"/>
      <c r="AB120" s="311"/>
      <c r="AC120" s="306"/>
      <c r="AD120" s="310"/>
      <c r="AE120" s="311"/>
      <c r="AF120" s="306"/>
      <c r="AG120" s="310"/>
      <c r="AH120" s="311"/>
      <c r="AI120" s="306"/>
      <c r="AJ120" s="310"/>
      <c r="AK120" s="311"/>
      <c r="AL120" s="306"/>
      <c r="AM120" s="310"/>
      <c r="AN120" s="311"/>
      <c r="AO120" s="306"/>
      <c r="AP120" s="310"/>
      <c r="AQ120" s="311"/>
      <c r="AR120" s="306"/>
      <c r="AS120" s="310"/>
      <c r="AT120" s="311"/>
      <c r="AU120" s="306"/>
      <c r="AV120" s="310"/>
      <c r="AW120" s="311"/>
      <c r="AX120" s="306"/>
      <c r="AY120" s="310"/>
      <c r="AZ120" s="311"/>
      <c r="BA120" s="306"/>
      <c r="BB120" s="310"/>
      <c r="BC120" s="311"/>
      <c r="BD120" s="306"/>
      <c r="BE120" s="312"/>
      <c r="BF120" s="312"/>
      <c r="BG120" s="312"/>
      <c r="BH120" s="312"/>
      <c r="BI120" s="312"/>
      <c r="BJ120" s="312"/>
      <c r="BK120" s="312"/>
      <c r="BL120" s="312"/>
      <c r="BM120" s="312"/>
      <c r="BN120" s="312"/>
      <c r="BO120" s="312"/>
      <c r="BP120" s="312"/>
      <c r="BQ120" s="312"/>
      <c r="BR120" s="312"/>
      <c r="BS120" s="312"/>
      <c r="BT120" s="312"/>
      <c r="BU120" s="312"/>
      <c r="BV120" s="312"/>
      <c r="BW120" s="312"/>
      <c r="BX120" s="312"/>
      <c r="BY120" s="312"/>
      <c r="BZ120" s="312"/>
      <c r="CA120" s="312"/>
      <c r="CB120" s="312"/>
      <c r="CC120" s="312"/>
      <c r="CD120" s="312"/>
      <c r="CE120" s="312"/>
      <c r="CF120" s="312"/>
      <c r="CG120" s="312"/>
      <c r="CH120" s="312"/>
      <c r="CI120" s="312"/>
      <c r="CJ120" s="312"/>
      <c r="CK120" s="312"/>
      <c r="CL120" s="312"/>
      <c r="CM120" s="312"/>
      <c r="CN120" s="312"/>
      <c r="CO120" s="312"/>
      <c r="CP120" s="312"/>
      <c r="CQ120" s="312"/>
      <c r="CR120" s="312"/>
    </row>
    <row r="121" spans="1:96" s="321" customFormat="1" ht="15.75" customHeight="1">
      <c r="A121" s="314"/>
      <c r="B121" s="315"/>
      <c r="C121" s="317"/>
      <c r="D121" s="317"/>
      <c r="E121" s="318">
        <f aca="true" t="shared" si="16" ref="E121:E133">IF(C121&gt;0,(((D121-C121)/C121)*100),0)</f>
        <v>0</v>
      </c>
      <c r="F121" s="316"/>
      <c r="G121" s="317"/>
      <c r="H121" s="318">
        <f aca="true" t="shared" si="17" ref="H121:H132">IF(F121&gt;0,(((G121-F121)/F121)*100),0)</f>
        <v>0</v>
      </c>
      <c r="I121" s="316"/>
      <c r="J121" s="317"/>
      <c r="K121" s="318"/>
      <c r="L121" s="316"/>
      <c r="M121" s="317"/>
      <c r="N121" s="319"/>
      <c r="O121" s="336">
        <v>7171.5</v>
      </c>
      <c r="P121" s="337">
        <v>8687</v>
      </c>
      <c r="Q121" s="338">
        <f>IF(O121&gt;0,(((P121-O121)/O121)*100),0)</f>
        <v>21.13225963884822</v>
      </c>
      <c r="R121" s="336">
        <v>13477.5</v>
      </c>
      <c r="S121" s="337">
        <v>15535</v>
      </c>
      <c r="T121" s="338">
        <f>IF(R121&gt;0,(((S121-R121)/R121)*100),0)</f>
        <v>15.26618438137637</v>
      </c>
      <c r="U121" s="316">
        <v>9987</v>
      </c>
      <c r="V121" s="317">
        <v>10832.5</v>
      </c>
      <c r="W121" s="318">
        <f>IF(U121&gt;0,(((V121-U121)/U121)*100),0)</f>
        <v>8.466005807549815</v>
      </c>
      <c r="X121" s="316">
        <v>24135</v>
      </c>
      <c r="Y121" s="317">
        <v>24980.5</v>
      </c>
      <c r="Z121" s="318">
        <f>IF(X121&gt;0,(((Y121-X121)/X121)*100),0)</f>
        <v>3.5032111042055107</v>
      </c>
      <c r="AA121" s="316">
        <v>9247</v>
      </c>
      <c r="AB121" s="317">
        <v>9894</v>
      </c>
      <c r="AC121" s="318">
        <f>IF(AA121&gt;0,(((AB121-AA121)/AA121)*100),0)</f>
        <v>6.996863847734399</v>
      </c>
      <c r="AD121" s="316">
        <v>21621</v>
      </c>
      <c r="AE121" s="317">
        <v>22268</v>
      </c>
      <c r="AF121" s="318">
        <f>IF(AD121&gt;0,(((AE121-AD121)/AD121)*100),0)</f>
        <v>2.992461033254706</v>
      </c>
      <c r="AG121" s="316">
        <v>5196</v>
      </c>
      <c r="AH121" s="317">
        <v>5524</v>
      </c>
      <c r="AI121" s="318">
        <f>IF(AG121&gt;0,(((AH121-AG121)/AG121)*100),0)</f>
        <v>6.312548113933795</v>
      </c>
      <c r="AJ121" s="336">
        <v>11148</v>
      </c>
      <c r="AK121" s="337">
        <v>15476</v>
      </c>
      <c r="AL121" s="338">
        <f>IF(AJ121&gt;0,(((AK121-AJ121)/AJ121)*100),0)</f>
        <v>38.82310728381773</v>
      </c>
      <c r="AM121" s="316"/>
      <c r="AN121" s="317"/>
      <c r="AO121" s="318"/>
      <c r="AP121" s="316"/>
      <c r="AQ121" s="317"/>
      <c r="AR121" s="318">
        <f>IF(AP121&gt;0,(((AQ121-AP121)/AP121)*100),0)</f>
        <v>0</v>
      </c>
      <c r="AS121" s="316"/>
      <c r="AT121" s="317"/>
      <c r="AU121" s="318"/>
      <c r="AV121" s="316"/>
      <c r="AW121" s="317"/>
      <c r="AX121" s="318"/>
      <c r="AY121" s="316">
        <v>10403</v>
      </c>
      <c r="AZ121" s="317">
        <v>11307</v>
      </c>
      <c r="BA121" s="318">
        <f>IF(AY121&gt;0,(((AZ121-AY121)/AY121)*100),0)</f>
        <v>8.689801018936844</v>
      </c>
      <c r="BB121" s="336">
        <v>25003</v>
      </c>
      <c r="BC121" s="337">
        <v>28207</v>
      </c>
      <c r="BD121" s="338">
        <f>IF(BB121&gt;0,(((BC121-BB121)/BB121)*100),0)</f>
        <v>12.814462264528256</v>
      </c>
      <c r="BE121" s="320"/>
      <c r="BF121" s="320"/>
      <c r="BG121" s="320"/>
      <c r="BH121" s="320"/>
      <c r="BI121" s="320"/>
      <c r="BJ121" s="320"/>
      <c r="BK121" s="320"/>
      <c r="BL121" s="320"/>
      <c r="BM121" s="320"/>
      <c r="BN121" s="320"/>
      <c r="BO121" s="320"/>
      <c r="BP121" s="320"/>
      <c r="BQ121" s="320"/>
      <c r="BR121" s="320"/>
      <c r="BS121" s="320"/>
      <c r="BT121" s="320"/>
      <c r="BU121" s="320"/>
      <c r="BV121" s="320"/>
      <c r="BW121" s="320"/>
      <c r="BX121" s="320"/>
      <c r="BY121" s="320"/>
      <c r="BZ121" s="320"/>
      <c r="CA121" s="320"/>
      <c r="CB121" s="320"/>
      <c r="CC121" s="320"/>
      <c r="CD121" s="320"/>
      <c r="CE121" s="320"/>
      <c r="CF121" s="320"/>
      <c r="CG121" s="320"/>
      <c r="CH121" s="320"/>
      <c r="CI121" s="320"/>
      <c r="CJ121" s="320"/>
      <c r="CK121" s="320"/>
      <c r="CL121" s="320"/>
      <c r="CM121" s="320"/>
      <c r="CN121" s="320"/>
      <c r="CO121" s="320"/>
      <c r="CP121" s="320"/>
      <c r="CQ121" s="320"/>
      <c r="CR121" s="320"/>
    </row>
    <row r="122" spans="1:96" s="300" customFormat="1" ht="15.75" customHeight="1" thickBot="1">
      <c r="A122" s="304" t="s">
        <v>959</v>
      </c>
      <c r="B122" s="305" t="s">
        <v>665</v>
      </c>
      <c r="C122" s="311">
        <v>6759</v>
      </c>
      <c r="D122" s="311">
        <v>7410</v>
      </c>
      <c r="E122" s="306">
        <f t="shared" si="16"/>
        <v>9.631602308033733</v>
      </c>
      <c r="F122" s="310">
        <v>17433</v>
      </c>
      <c r="G122" s="311">
        <v>18710</v>
      </c>
      <c r="H122" s="306">
        <f t="shared" si="17"/>
        <v>7.325187862100615</v>
      </c>
      <c r="I122" s="310">
        <v>8376</v>
      </c>
      <c r="J122" s="311">
        <v>9781</v>
      </c>
      <c r="K122" s="306">
        <f aca="true" t="shared" si="18" ref="K122:K128">IF(I122&gt;0,(((J122-I122)/I122)*100),0)</f>
        <v>16.77411652340019</v>
      </c>
      <c r="L122" s="342">
        <v>14448</v>
      </c>
      <c r="M122" s="343">
        <v>17701</v>
      </c>
      <c r="N122" s="344">
        <f aca="true" t="shared" si="19" ref="N122:N128">IF(L122&gt;0,(((M122-L122)/L122)*100),0)</f>
        <v>22.515227021040975</v>
      </c>
      <c r="O122" s="310"/>
      <c r="P122" s="311"/>
      <c r="Q122" s="306"/>
      <c r="R122" s="310"/>
      <c r="S122" s="311"/>
      <c r="T122" s="306"/>
      <c r="U122" s="310"/>
      <c r="V122" s="311"/>
      <c r="W122" s="306"/>
      <c r="X122" s="310"/>
      <c r="Y122" s="311"/>
      <c r="Z122" s="306"/>
      <c r="AA122" s="310"/>
      <c r="AB122" s="311"/>
      <c r="AC122" s="306"/>
      <c r="AD122" s="310"/>
      <c r="AE122" s="311"/>
      <c r="AF122" s="306"/>
      <c r="AG122" s="310"/>
      <c r="AH122" s="311"/>
      <c r="AI122" s="306"/>
      <c r="AJ122" s="310"/>
      <c r="AK122" s="311"/>
      <c r="AL122" s="306"/>
      <c r="AM122" s="310"/>
      <c r="AN122" s="311"/>
      <c r="AO122" s="306"/>
      <c r="AP122" s="310"/>
      <c r="AQ122" s="311"/>
      <c r="AR122" s="306"/>
      <c r="AS122" s="310"/>
      <c r="AT122" s="311"/>
      <c r="AU122" s="306"/>
      <c r="AV122" s="310"/>
      <c r="AW122" s="311"/>
      <c r="AX122" s="306"/>
      <c r="AY122" s="310"/>
      <c r="AZ122" s="311"/>
      <c r="BA122" s="306"/>
      <c r="BB122" s="310"/>
      <c r="BC122" s="311"/>
      <c r="BD122" s="306"/>
      <c r="BE122" s="312"/>
      <c r="BF122" s="312"/>
      <c r="BG122" s="312"/>
      <c r="BH122" s="312"/>
      <c r="BI122" s="312"/>
      <c r="BJ122" s="312"/>
      <c r="BK122" s="312"/>
      <c r="BL122" s="312"/>
      <c r="BM122" s="312"/>
      <c r="BN122" s="312"/>
      <c r="BO122" s="312"/>
      <c r="BP122" s="312"/>
      <c r="BQ122" s="312"/>
      <c r="BR122" s="312"/>
      <c r="BS122" s="312"/>
      <c r="BT122" s="312"/>
      <c r="BU122" s="312"/>
      <c r="BV122" s="312"/>
      <c r="BW122" s="312"/>
      <c r="BX122" s="312"/>
      <c r="BY122" s="312"/>
      <c r="BZ122" s="312"/>
      <c r="CA122" s="312"/>
      <c r="CB122" s="312"/>
      <c r="CC122" s="312"/>
      <c r="CD122" s="312"/>
      <c r="CE122" s="312"/>
      <c r="CF122" s="312"/>
      <c r="CG122" s="312"/>
      <c r="CH122" s="312"/>
      <c r="CI122" s="312"/>
      <c r="CJ122" s="312"/>
      <c r="CK122" s="312"/>
      <c r="CL122" s="312"/>
      <c r="CM122" s="312"/>
      <c r="CN122" s="312"/>
      <c r="CO122" s="312"/>
      <c r="CP122" s="312"/>
      <c r="CQ122" s="312"/>
      <c r="CR122" s="312"/>
    </row>
    <row r="123" spans="1:96" s="300" customFormat="1" ht="15.75" customHeight="1">
      <c r="A123" s="313"/>
      <c r="B123" s="305" t="s">
        <v>666</v>
      </c>
      <c r="C123" s="311">
        <v>7388</v>
      </c>
      <c r="D123" s="311">
        <v>8020</v>
      </c>
      <c r="E123" s="306">
        <f t="shared" si="16"/>
        <v>8.554412560909583</v>
      </c>
      <c r="F123" s="310">
        <v>14290</v>
      </c>
      <c r="G123" s="311">
        <v>15620</v>
      </c>
      <c r="H123" s="306">
        <f t="shared" si="17"/>
        <v>9.307207837648706</v>
      </c>
      <c r="I123" s="310">
        <v>10128</v>
      </c>
      <c r="J123" s="311">
        <v>10800</v>
      </c>
      <c r="K123" s="306">
        <f t="shared" si="18"/>
        <v>6.6350710900473935</v>
      </c>
      <c r="L123" s="310">
        <v>15408</v>
      </c>
      <c r="M123" s="311">
        <v>16392</v>
      </c>
      <c r="N123" s="306">
        <f t="shared" si="19"/>
        <v>6.386292834890965</v>
      </c>
      <c r="O123" s="310"/>
      <c r="P123" s="311"/>
      <c r="Q123" s="306"/>
      <c r="R123" s="310"/>
      <c r="S123" s="311"/>
      <c r="T123" s="306"/>
      <c r="U123" s="310"/>
      <c r="V123" s="311"/>
      <c r="W123" s="306"/>
      <c r="X123" s="310"/>
      <c r="Y123" s="311"/>
      <c r="Z123" s="306"/>
      <c r="AA123" s="310"/>
      <c r="AB123" s="311"/>
      <c r="AC123" s="306"/>
      <c r="AD123" s="310"/>
      <c r="AE123" s="311"/>
      <c r="AF123" s="306"/>
      <c r="AG123" s="310"/>
      <c r="AH123" s="311"/>
      <c r="AI123" s="306"/>
      <c r="AJ123" s="310"/>
      <c r="AK123" s="311"/>
      <c r="AL123" s="306"/>
      <c r="AM123" s="310"/>
      <c r="AN123" s="311"/>
      <c r="AO123" s="306"/>
      <c r="AP123" s="310"/>
      <c r="AQ123" s="311"/>
      <c r="AR123" s="306"/>
      <c r="AS123" s="310"/>
      <c r="AT123" s="311"/>
      <c r="AU123" s="306"/>
      <c r="AV123" s="310"/>
      <c r="AW123" s="311"/>
      <c r="AX123" s="306"/>
      <c r="AY123" s="310"/>
      <c r="AZ123" s="311"/>
      <c r="BA123" s="306"/>
      <c r="BB123" s="310"/>
      <c r="BC123" s="311"/>
      <c r="BD123" s="306"/>
      <c r="BE123" s="312"/>
      <c r="BF123" s="312"/>
      <c r="BG123" s="312"/>
      <c r="BH123" s="312"/>
      <c r="BI123" s="312"/>
      <c r="BJ123" s="312"/>
      <c r="BK123" s="312"/>
      <c r="BL123" s="312"/>
      <c r="BM123" s="312"/>
      <c r="BN123" s="312"/>
      <c r="BO123" s="312"/>
      <c r="BP123" s="312"/>
      <c r="BQ123" s="312"/>
      <c r="BR123" s="312"/>
      <c r="BS123" s="312"/>
      <c r="BT123" s="312"/>
      <c r="BU123" s="312"/>
      <c r="BV123" s="312"/>
      <c r="BW123" s="312"/>
      <c r="BX123" s="312"/>
      <c r="BY123" s="312"/>
      <c r="BZ123" s="312"/>
      <c r="CA123" s="312"/>
      <c r="CB123" s="312"/>
      <c r="CC123" s="312"/>
      <c r="CD123" s="312"/>
      <c r="CE123" s="312"/>
      <c r="CF123" s="312"/>
      <c r="CG123" s="312"/>
      <c r="CH123" s="312"/>
      <c r="CI123" s="312"/>
      <c r="CJ123" s="312"/>
      <c r="CK123" s="312"/>
      <c r="CL123" s="312"/>
      <c r="CM123" s="312"/>
      <c r="CN123" s="312"/>
      <c r="CO123" s="312"/>
      <c r="CP123" s="312"/>
      <c r="CQ123" s="312"/>
      <c r="CR123" s="312"/>
    </row>
    <row r="124" spans="1:96" s="300" customFormat="1" ht="15.75" customHeight="1">
      <c r="A124" s="313"/>
      <c r="B124" s="305" t="s">
        <v>667</v>
      </c>
      <c r="C124" s="311">
        <v>6226</v>
      </c>
      <c r="D124" s="311">
        <v>6672</v>
      </c>
      <c r="E124" s="306">
        <f t="shared" si="16"/>
        <v>7.163507870221651</v>
      </c>
      <c r="F124" s="310">
        <v>14298</v>
      </c>
      <c r="G124" s="311">
        <v>15352</v>
      </c>
      <c r="H124" s="306">
        <f t="shared" si="17"/>
        <v>7.371660372080011</v>
      </c>
      <c r="I124" s="310">
        <v>7464</v>
      </c>
      <c r="J124" s="311">
        <v>7848</v>
      </c>
      <c r="K124" s="306">
        <f t="shared" si="18"/>
        <v>5.144694533762058</v>
      </c>
      <c r="L124" s="310">
        <v>13848</v>
      </c>
      <c r="M124" s="311">
        <v>14592</v>
      </c>
      <c r="N124" s="306">
        <f t="shared" si="19"/>
        <v>5.37261698440208</v>
      </c>
      <c r="O124" s="310"/>
      <c r="P124" s="311"/>
      <c r="Q124" s="306"/>
      <c r="R124" s="310"/>
      <c r="S124" s="311"/>
      <c r="T124" s="306"/>
      <c r="U124" s="310"/>
      <c r="V124" s="311"/>
      <c r="W124" s="306"/>
      <c r="X124" s="310"/>
      <c r="Y124" s="311"/>
      <c r="Z124" s="306"/>
      <c r="AA124" s="310"/>
      <c r="AB124" s="311"/>
      <c r="AC124" s="306"/>
      <c r="AD124" s="310"/>
      <c r="AE124" s="311"/>
      <c r="AF124" s="306"/>
      <c r="AG124" s="310"/>
      <c r="AH124" s="311"/>
      <c r="AI124" s="306"/>
      <c r="AJ124" s="310"/>
      <c r="AK124" s="311"/>
      <c r="AL124" s="306"/>
      <c r="AM124" s="310"/>
      <c r="AN124" s="311"/>
      <c r="AO124" s="306"/>
      <c r="AP124" s="310"/>
      <c r="AQ124" s="311"/>
      <c r="AR124" s="306"/>
      <c r="AS124" s="310"/>
      <c r="AT124" s="311"/>
      <c r="AU124" s="306"/>
      <c r="AV124" s="310"/>
      <c r="AW124" s="311"/>
      <c r="AX124" s="306"/>
      <c r="AY124" s="310"/>
      <c r="AZ124" s="311"/>
      <c r="BA124" s="306"/>
      <c r="BB124" s="310"/>
      <c r="BC124" s="311"/>
      <c r="BD124" s="306"/>
      <c r="BE124" s="312"/>
      <c r="BF124" s="312"/>
      <c r="BG124" s="312"/>
      <c r="BH124" s="312"/>
      <c r="BI124" s="312"/>
      <c r="BJ124" s="312"/>
      <c r="BK124" s="312"/>
      <c r="BL124" s="312"/>
      <c r="BM124" s="312"/>
      <c r="BN124" s="312"/>
      <c r="BO124" s="312"/>
      <c r="BP124" s="312"/>
      <c r="BQ124" s="312"/>
      <c r="BR124" s="312"/>
      <c r="BS124" s="312"/>
      <c r="BT124" s="312"/>
      <c r="BU124" s="312"/>
      <c r="BV124" s="312"/>
      <c r="BW124" s="312"/>
      <c r="BX124" s="312"/>
      <c r="BY124" s="312"/>
      <c r="BZ124" s="312"/>
      <c r="CA124" s="312"/>
      <c r="CB124" s="312"/>
      <c r="CC124" s="312"/>
      <c r="CD124" s="312"/>
      <c r="CE124" s="312"/>
      <c r="CF124" s="312"/>
      <c r="CG124" s="312"/>
      <c r="CH124" s="312"/>
      <c r="CI124" s="312"/>
      <c r="CJ124" s="312"/>
      <c r="CK124" s="312"/>
      <c r="CL124" s="312"/>
      <c r="CM124" s="312"/>
      <c r="CN124" s="312"/>
      <c r="CO124" s="312"/>
      <c r="CP124" s="312"/>
      <c r="CQ124" s="312"/>
      <c r="CR124" s="312"/>
    </row>
    <row r="125" spans="1:96" s="300" customFormat="1" ht="15.75" customHeight="1">
      <c r="A125" s="313"/>
      <c r="B125" s="305" t="s">
        <v>668</v>
      </c>
      <c r="C125" s="311">
        <v>5223.5</v>
      </c>
      <c r="D125" s="311">
        <v>5774</v>
      </c>
      <c r="E125" s="306">
        <f t="shared" si="16"/>
        <v>10.538910692064709</v>
      </c>
      <c r="F125" s="310">
        <v>12347</v>
      </c>
      <c r="G125" s="311">
        <v>13464</v>
      </c>
      <c r="H125" s="306">
        <f t="shared" si="17"/>
        <v>9.046731999676034</v>
      </c>
      <c r="I125" s="310">
        <v>5736</v>
      </c>
      <c r="J125" s="311">
        <v>6636</v>
      </c>
      <c r="K125" s="306">
        <f t="shared" si="18"/>
        <v>15.690376569037657</v>
      </c>
      <c r="L125" s="310">
        <v>10944</v>
      </c>
      <c r="M125" s="311">
        <v>11880</v>
      </c>
      <c r="N125" s="306">
        <f t="shared" si="19"/>
        <v>8.552631578947368</v>
      </c>
      <c r="O125" s="310"/>
      <c r="P125" s="311"/>
      <c r="Q125" s="306"/>
      <c r="R125" s="310"/>
      <c r="S125" s="311"/>
      <c r="T125" s="306"/>
      <c r="U125" s="310"/>
      <c r="V125" s="311"/>
      <c r="W125" s="306"/>
      <c r="X125" s="310"/>
      <c r="Y125" s="311"/>
      <c r="Z125" s="306"/>
      <c r="AA125" s="310"/>
      <c r="AB125" s="311"/>
      <c r="AC125" s="306"/>
      <c r="AD125" s="310"/>
      <c r="AE125" s="311"/>
      <c r="AF125" s="306"/>
      <c r="AG125" s="310"/>
      <c r="AH125" s="311"/>
      <c r="AI125" s="306"/>
      <c r="AJ125" s="310"/>
      <c r="AK125" s="311"/>
      <c r="AL125" s="306"/>
      <c r="AM125" s="310"/>
      <c r="AN125" s="311"/>
      <c r="AO125" s="306"/>
      <c r="AP125" s="310"/>
      <c r="AQ125" s="311"/>
      <c r="AR125" s="306"/>
      <c r="AS125" s="310"/>
      <c r="AT125" s="311"/>
      <c r="AU125" s="306"/>
      <c r="AV125" s="310"/>
      <c r="AW125" s="311"/>
      <c r="AX125" s="306"/>
      <c r="AY125" s="310"/>
      <c r="AZ125" s="311"/>
      <c r="BA125" s="306"/>
      <c r="BB125" s="310"/>
      <c r="BC125" s="311"/>
      <c r="BD125" s="306"/>
      <c r="BE125" s="312"/>
      <c r="BF125" s="312"/>
      <c r="BG125" s="312"/>
      <c r="BH125" s="312"/>
      <c r="BI125" s="312"/>
      <c r="BJ125" s="312"/>
      <c r="BK125" s="312"/>
      <c r="BL125" s="312"/>
      <c r="BM125" s="312"/>
      <c r="BN125" s="312"/>
      <c r="BO125" s="312"/>
      <c r="BP125" s="312"/>
      <c r="BQ125" s="312"/>
      <c r="BR125" s="312"/>
      <c r="BS125" s="312"/>
      <c r="BT125" s="312"/>
      <c r="BU125" s="312"/>
      <c r="BV125" s="312"/>
      <c r="BW125" s="312"/>
      <c r="BX125" s="312"/>
      <c r="BY125" s="312"/>
      <c r="BZ125" s="312"/>
      <c r="CA125" s="312"/>
      <c r="CB125" s="312"/>
      <c r="CC125" s="312"/>
      <c r="CD125" s="312"/>
      <c r="CE125" s="312"/>
      <c r="CF125" s="312"/>
      <c r="CG125" s="312"/>
      <c r="CH125" s="312"/>
      <c r="CI125" s="312"/>
      <c r="CJ125" s="312"/>
      <c r="CK125" s="312"/>
      <c r="CL125" s="312"/>
      <c r="CM125" s="312"/>
      <c r="CN125" s="312"/>
      <c r="CO125" s="312"/>
      <c r="CP125" s="312"/>
      <c r="CQ125" s="312"/>
      <c r="CR125" s="312"/>
    </row>
    <row r="126" spans="1:96" s="300" customFormat="1" ht="15.75" customHeight="1" thickBot="1">
      <c r="A126" s="313"/>
      <c r="B126" s="305" t="s">
        <v>669</v>
      </c>
      <c r="C126" s="311">
        <v>4240</v>
      </c>
      <c r="D126" s="311">
        <v>4454</v>
      </c>
      <c r="E126" s="306">
        <f t="shared" si="16"/>
        <v>5.047169811320755</v>
      </c>
      <c r="F126" s="310">
        <v>10062</v>
      </c>
      <c r="G126" s="311">
        <v>10626</v>
      </c>
      <c r="H126" s="322">
        <f t="shared" si="17"/>
        <v>5.605247465712582</v>
      </c>
      <c r="I126" s="310">
        <v>4200</v>
      </c>
      <c r="J126" s="311">
        <v>4464</v>
      </c>
      <c r="K126" s="306">
        <f t="shared" si="18"/>
        <v>6.2857142857142865</v>
      </c>
      <c r="L126" s="310">
        <v>7632</v>
      </c>
      <c r="M126" s="311">
        <v>8088</v>
      </c>
      <c r="N126" s="306">
        <f t="shared" si="19"/>
        <v>5.9748427672955975</v>
      </c>
      <c r="O126" s="311"/>
      <c r="P126" s="311"/>
      <c r="Q126" s="306"/>
      <c r="R126" s="311"/>
      <c r="S126" s="311"/>
      <c r="T126" s="306"/>
      <c r="U126" s="311"/>
      <c r="V126" s="311"/>
      <c r="W126" s="306"/>
      <c r="X126" s="311"/>
      <c r="Y126" s="311"/>
      <c r="Z126" s="306"/>
      <c r="AA126" s="311"/>
      <c r="AB126" s="311"/>
      <c r="AC126" s="306"/>
      <c r="AD126" s="311"/>
      <c r="AE126" s="311"/>
      <c r="AF126" s="306"/>
      <c r="AG126" s="311"/>
      <c r="AH126" s="311"/>
      <c r="AI126" s="306"/>
      <c r="AJ126" s="311"/>
      <c r="AK126" s="311"/>
      <c r="AL126" s="306"/>
      <c r="AM126" s="311"/>
      <c r="AN126" s="311"/>
      <c r="AO126" s="306"/>
      <c r="AP126" s="311"/>
      <c r="AQ126" s="311"/>
      <c r="AR126" s="306"/>
      <c r="AS126" s="311"/>
      <c r="AT126" s="311"/>
      <c r="AU126" s="306"/>
      <c r="AV126" s="311"/>
      <c r="AW126" s="311"/>
      <c r="AX126" s="306"/>
      <c r="AY126" s="311"/>
      <c r="AZ126" s="311"/>
      <c r="BA126" s="306"/>
      <c r="BB126" s="311"/>
      <c r="BC126" s="311"/>
      <c r="BD126" s="306"/>
      <c r="BE126" s="312"/>
      <c r="BF126" s="312"/>
      <c r="BG126" s="312"/>
      <c r="BH126" s="312"/>
      <c r="BI126" s="312"/>
      <c r="BJ126" s="312"/>
      <c r="BK126" s="312"/>
      <c r="BL126" s="312"/>
      <c r="BM126" s="312"/>
      <c r="BN126" s="312"/>
      <c r="BO126" s="312"/>
      <c r="BP126" s="312"/>
      <c r="BQ126" s="312"/>
      <c r="BR126" s="312"/>
      <c r="BS126" s="312"/>
      <c r="BT126" s="312"/>
      <c r="BU126" s="312"/>
      <c r="BV126" s="312"/>
      <c r="BW126" s="312"/>
      <c r="BX126" s="312"/>
      <c r="BY126" s="312"/>
      <c r="BZ126" s="312"/>
      <c r="CA126" s="312"/>
      <c r="CB126" s="312"/>
      <c r="CC126" s="312"/>
      <c r="CD126" s="312"/>
      <c r="CE126" s="312"/>
      <c r="CF126" s="312"/>
      <c r="CG126" s="312"/>
      <c r="CH126" s="312"/>
      <c r="CI126" s="312"/>
      <c r="CJ126" s="312"/>
      <c r="CK126" s="312"/>
      <c r="CL126" s="312"/>
      <c r="CM126" s="312"/>
      <c r="CN126" s="312"/>
      <c r="CO126" s="312"/>
      <c r="CP126" s="312"/>
      <c r="CQ126" s="312"/>
      <c r="CR126" s="312"/>
    </row>
    <row r="127" spans="1:96" s="300" customFormat="1" ht="15.75" customHeight="1" thickBot="1">
      <c r="A127" s="313"/>
      <c r="B127" s="305" t="s">
        <v>670</v>
      </c>
      <c r="C127" s="311">
        <v>8740</v>
      </c>
      <c r="D127" s="311">
        <v>9617</v>
      </c>
      <c r="E127" s="306">
        <f t="shared" si="16"/>
        <v>10.034324942791761</v>
      </c>
      <c r="F127" s="339">
        <v>15060</v>
      </c>
      <c r="G127" s="340">
        <v>17097</v>
      </c>
      <c r="H127" s="341">
        <f t="shared" si="17"/>
        <v>13.52589641434263</v>
      </c>
      <c r="I127" s="310">
        <v>0</v>
      </c>
      <c r="J127" s="311">
        <v>0</v>
      </c>
      <c r="K127" s="306"/>
      <c r="L127" s="310">
        <v>0</v>
      </c>
      <c r="M127" s="311">
        <v>0</v>
      </c>
      <c r="N127" s="306"/>
      <c r="O127" s="310"/>
      <c r="P127" s="311"/>
      <c r="Q127" s="306"/>
      <c r="R127" s="310"/>
      <c r="S127" s="311"/>
      <c r="T127" s="306"/>
      <c r="U127" s="310"/>
      <c r="V127" s="311"/>
      <c r="W127" s="306"/>
      <c r="X127" s="310"/>
      <c r="Y127" s="311"/>
      <c r="Z127" s="306"/>
      <c r="AA127" s="310"/>
      <c r="AB127" s="311"/>
      <c r="AC127" s="306"/>
      <c r="AD127" s="310"/>
      <c r="AE127" s="311"/>
      <c r="AF127" s="306"/>
      <c r="AG127" s="310"/>
      <c r="AH127" s="311"/>
      <c r="AI127" s="306"/>
      <c r="AJ127" s="310"/>
      <c r="AK127" s="311"/>
      <c r="AL127" s="306"/>
      <c r="AM127" s="310"/>
      <c r="AN127" s="311"/>
      <c r="AO127" s="306"/>
      <c r="AP127" s="310"/>
      <c r="AQ127" s="311"/>
      <c r="AR127" s="306"/>
      <c r="AS127" s="310"/>
      <c r="AT127" s="311"/>
      <c r="AU127" s="306"/>
      <c r="AV127" s="310"/>
      <c r="AW127" s="311"/>
      <c r="AX127" s="306"/>
      <c r="AY127" s="310"/>
      <c r="AZ127" s="311"/>
      <c r="BA127" s="306"/>
      <c r="BB127" s="310"/>
      <c r="BC127" s="311"/>
      <c r="BD127" s="306"/>
      <c r="BE127" s="312"/>
      <c r="BF127" s="312"/>
      <c r="BG127" s="312"/>
      <c r="BH127" s="312"/>
      <c r="BI127" s="312"/>
      <c r="BJ127" s="312"/>
      <c r="BK127" s="312"/>
      <c r="BL127" s="312"/>
      <c r="BM127" s="312"/>
      <c r="BN127" s="312"/>
      <c r="BO127" s="312"/>
      <c r="BP127" s="312"/>
      <c r="BQ127" s="312"/>
      <c r="BR127" s="312"/>
      <c r="BS127" s="312"/>
      <c r="BT127" s="312"/>
      <c r="BU127" s="312"/>
      <c r="BV127" s="312"/>
      <c r="BW127" s="312"/>
      <c r="BX127" s="312"/>
      <c r="BY127" s="312"/>
      <c r="BZ127" s="312"/>
      <c r="CA127" s="312"/>
      <c r="CB127" s="312"/>
      <c r="CC127" s="312"/>
      <c r="CD127" s="312"/>
      <c r="CE127" s="312"/>
      <c r="CF127" s="312"/>
      <c r="CG127" s="312"/>
      <c r="CH127" s="312"/>
      <c r="CI127" s="312"/>
      <c r="CJ127" s="312"/>
      <c r="CK127" s="312"/>
      <c r="CL127" s="312"/>
      <c r="CM127" s="312"/>
      <c r="CN127" s="312"/>
      <c r="CO127" s="312"/>
      <c r="CP127" s="312"/>
      <c r="CQ127" s="312"/>
      <c r="CR127" s="312"/>
    </row>
    <row r="128" spans="1:96" s="300" customFormat="1" ht="15.75" customHeight="1">
      <c r="A128" s="313"/>
      <c r="B128" s="305" t="s">
        <v>1041</v>
      </c>
      <c r="C128" s="311">
        <v>5564</v>
      </c>
      <c r="D128" s="311">
        <v>5976</v>
      </c>
      <c r="E128" s="306">
        <f t="shared" si="16"/>
        <v>7.4047447879223585</v>
      </c>
      <c r="F128" s="310">
        <v>12465</v>
      </c>
      <c r="G128" s="311">
        <v>13583</v>
      </c>
      <c r="H128" s="306">
        <f t="shared" si="17"/>
        <v>8.96911351784998</v>
      </c>
      <c r="I128" s="310">
        <v>6084</v>
      </c>
      <c r="J128" s="311">
        <v>6780</v>
      </c>
      <c r="K128" s="306">
        <f t="shared" si="18"/>
        <v>11.439842209072978</v>
      </c>
      <c r="L128" s="310">
        <v>11340</v>
      </c>
      <c r="M128" s="311">
        <v>12432</v>
      </c>
      <c r="N128" s="306">
        <f t="shared" si="19"/>
        <v>9.62962962962963</v>
      </c>
      <c r="O128" s="310"/>
      <c r="P128" s="311"/>
      <c r="Q128" s="306"/>
      <c r="R128" s="310"/>
      <c r="S128" s="311"/>
      <c r="T128" s="306"/>
      <c r="U128" s="310"/>
      <c r="V128" s="311"/>
      <c r="W128" s="306"/>
      <c r="X128" s="310"/>
      <c r="Y128" s="311"/>
      <c r="Z128" s="306"/>
      <c r="AA128" s="310"/>
      <c r="AB128" s="311"/>
      <c r="AC128" s="306"/>
      <c r="AD128" s="310"/>
      <c r="AE128" s="311"/>
      <c r="AF128" s="306"/>
      <c r="AG128" s="310"/>
      <c r="AH128" s="311"/>
      <c r="AI128" s="306"/>
      <c r="AJ128" s="310"/>
      <c r="AK128" s="311"/>
      <c r="AL128" s="306"/>
      <c r="AM128" s="310"/>
      <c r="AN128" s="311"/>
      <c r="AO128" s="306"/>
      <c r="AP128" s="310"/>
      <c r="AQ128" s="311"/>
      <c r="AR128" s="306"/>
      <c r="AS128" s="310"/>
      <c r="AT128" s="311"/>
      <c r="AU128" s="306"/>
      <c r="AV128" s="310"/>
      <c r="AW128" s="311"/>
      <c r="AX128" s="306"/>
      <c r="AY128" s="310"/>
      <c r="AZ128" s="311"/>
      <c r="BA128" s="306"/>
      <c r="BB128" s="310"/>
      <c r="BC128" s="311"/>
      <c r="BD128" s="306"/>
      <c r="BE128" s="312"/>
      <c r="BF128" s="312"/>
      <c r="BG128" s="312"/>
      <c r="BH128" s="312"/>
      <c r="BI128" s="312"/>
      <c r="BJ128" s="312"/>
      <c r="BK128" s="312"/>
      <c r="BL128" s="312"/>
      <c r="BM128" s="312"/>
      <c r="BN128" s="312"/>
      <c r="BO128" s="312"/>
      <c r="BP128" s="312"/>
      <c r="BQ128" s="312"/>
      <c r="BR128" s="312"/>
      <c r="BS128" s="312"/>
      <c r="BT128" s="312"/>
      <c r="BU128" s="312"/>
      <c r="BV128" s="312"/>
      <c r="BW128" s="312"/>
      <c r="BX128" s="312"/>
      <c r="BY128" s="312"/>
      <c r="BZ128" s="312"/>
      <c r="CA128" s="312"/>
      <c r="CB128" s="312"/>
      <c r="CC128" s="312"/>
      <c r="CD128" s="312"/>
      <c r="CE128" s="312"/>
      <c r="CF128" s="312"/>
      <c r="CG128" s="312"/>
      <c r="CH128" s="312"/>
      <c r="CI128" s="312"/>
      <c r="CJ128" s="312"/>
      <c r="CK128" s="312"/>
      <c r="CL128" s="312"/>
      <c r="CM128" s="312"/>
      <c r="CN128" s="312"/>
      <c r="CO128" s="312"/>
      <c r="CP128" s="312"/>
      <c r="CQ128" s="312"/>
      <c r="CR128" s="312"/>
    </row>
    <row r="129" spans="1:96" s="300" customFormat="1" ht="15.75" customHeight="1" thickBot="1">
      <c r="A129" s="313"/>
      <c r="B129" s="305" t="s">
        <v>671</v>
      </c>
      <c r="C129" s="311"/>
      <c r="D129" s="311"/>
      <c r="E129" s="306">
        <f t="shared" si="16"/>
        <v>0</v>
      </c>
      <c r="F129" s="310"/>
      <c r="G129" s="311"/>
      <c r="H129" s="306">
        <f t="shared" si="17"/>
        <v>0</v>
      </c>
      <c r="I129" s="310"/>
      <c r="J129" s="311"/>
      <c r="K129" s="306"/>
      <c r="L129" s="310"/>
      <c r="M129" s="311"/>
      <c r="N129" s="306"/>
      <c r="O129" s="310"/>
      <c r="P129" s="311"/>
      <c r="Q129" s="306"/>
      <c r="R129" s="310"/>
      <c r="S129" s="311"/>
      <c r="T129" s="306"/>
      <c r="U129" s="310"/>
      <c r="V129" s="311"/>
      <c r="W129" s="306"/>
      <c r="X129" s="310"/>
      <c r="Y129" s="311"/>
      <c r="Z129" s="306"/>
      <c r="AA129" s="310"/>
      <c r="AB129" s="311"/>
      <c r="AC129" s="306"/>
      <c r="AD129" s="310"/>
      <c r="AE129" s="311"/>
      <c r="AF129" s="306"/>
      <c r="AG129" s="310"/>
      <c r="AH129" s="311"/>
      <c r="AI129" s="306"/>
      <c r="AJ129" s="310"/>
      <c r="AK129" s="311"/>
      <c r="AL129" s="306"/>
      <c r="AM129" s="310"/>
      <c r="AN129" s="311"/>
      <c r="AO129" s="306"/>
      <c r="AP129" s="310"/>
      <c r="AQ129" s="311"/>
      <c r="AR129" s="306"/>
      <c r="AS129" s="310"/>
      <c r="AT129" s="311"/>
      <c r="AU129" s="306"/>
      <c r="AV129" s="310"/>
      <c r="AW129" s="311"/>
      <c r="AX129" s="306"/>
      <c r="AY129" s="310"/>
      <c r="AZ129" s="311"/>
      <c r="BA129" s="306"/>
      <c r="BB129" s="310"/>
      <c r="BC129" s="311"/>
      <c r="BD129" s="306"/>
      <c r="BE129" s="312"/>
      <c r="BF129" s="312"/>
      <c r="BG129" s="312"/>
      <c r="BH129" s="312"/>
      <c r="BI129" s="312"/>
      <c r="BJ129" s="312"/>
      <c r="BK129" s="312"/>
      <c r="BL129" s="312"/>
      <c r="BM129" s="312"/>
      <c r="BN129" s="312"/>
      <c r="BO129" s="312"/>
      <c r="BP129" s="312"/>
      <c r="BQ129" s="312"/>
      <c r="BR129" s="312"/>
      <c r="BS129" s="312"/>
      <c r="BT129" s="312"/>
      <c r="BU129" s="312"/>
      <c r="BV129" s="312"/>
      <c r="BW129" s="312"/>
      <c r="BX129" s="312"/>
      <c r="BY129" s="312"/>
      <c r="BZ129" s="312"/>
      <c r="CA129" s="312"/>
      <c r="CB129" s="312"/>
      <c r="CC129" s="312"/>
      <c r="CD129" s="312"/>
      <c r="CE129" s="312"/>
      <c r="CF129" s="312"/>
      <c r="CG129" s="312"/>
      <c r="CH129" s="312"/>
      <c r="CI129" s="312"/>
      <c r="CJ129" s="312"/>
      <c r="CK129" s="312"/>
      <c r="CL129" s="312"/>
      <c r="CM129" s="312"/>
      <c r="CN129" s="312"/>
      <c r="CO129" s="312"/>
      <c r="CP129" s="312"/>
      <c r="CQ129" s="312"/>
      <c r="CR129" s="312"/>
    </row>
    <row r="130" spans="1:96" s="300" customFormat="1" ht="15.75" customHeight="1" thickBot="1">
      <c r="A130" s="313"/>
      <c r="B130" s="305" t="s">
        <v>672</v>
      </c>
      <c r="C130" s="311">
        <v>2956</v>
      </c>
      <c r="D130" s="311">
        <v>3245</v>
      </c>
      <c r="E130" s="306">
        <f t="shared" si="16"/>
        <v>9.776725304465494</v>
      </c>
      <c r="F130" s="339">
        <v>6840</v>
      </c>
      <c r="G130" s="340">
        <v>8435</v>
      </c>
      <c r="H130" s="341">
        <f t="shared" si="17"/>
        <v>23.318713450292396</v>
      </c>
      <c r="I130" s="310"/>
      <c r="J130" s="311"/>
      <c r="K130" s="306"/>
      <c r="L130" s="310"/>
      <c r="M130" s="311"/>
      <c r="N130" s="306"/>
      <c r="O130" s="310"/>
      <c r="P130" s="311"/>
      <c r="Q130" s="306"/>
      <c r="R130" s="310"/>
      <c r="S130" s="311"/>
      <c r="T130" s="306"/>
      <c r="U130" s="310"/>
      <c r="V130" s="311"/>
      <c r="W130" s="306"/>
      <c r="X130" s="310"/>
      <c r="Y130" s="311"/>
      <c r="Z130" s="306"/>
      <c r="AA130" s="310"/>
      <c r="AB130" s="311"/>
      <c r="AC130" s="306"/>
      <c r="AD130" s="310"/>
      <c r="AE130" s="311"/>
      <c r="AF130" s="306"/>
      <c r="AG130" s="310"/>
      <c r="AH130" s="311"/>
      <c r="AI130" s="306"/>
      <c r="AJ130" s="310"/>
      <c r="AK130" s="311"/>
      <c r="AL130" s="306"/>
      <c r="AM130" s="310"/>
      <c r="AN130" s="311"/>
      <c r="AO130" s="306"/>
      <c r="AP130" s="310"/>
      <c r="AQ130" s="311"/>
      <c r="AR130" s="306"/>
      <c r="AS130" s="310"/>
      <c r="AT130" s="311"/>
      <c r="AU130" s="306"/>
      <c r="AV130" s="310"/>
      <c r="AW130" s="311"/>
      <c r="AX130" s="306"/>
      <c r="AY130" s="310"/>
      <c r="AZ130" s="311"/>
      <c r="BA130" s="306"/>
      <c r="BB130" s="310"/>
      <c r="BC130" s="311"/>
      <c r="BD130" s="306"/>
      <c r="BE130" s="312"/>
      <c r="BF130" s="312"/>
      <c r="BG130" s="312"/>
      <c r="BH130" s="312"/>
      <c r="BI130" s="312"/>
      <c r="BJ130" s="312"/>
      <c r="BK130" s="312"/>
      <c r="BL130" s="312"/>
      <c r="BM130" s="312"/>
      <c r="BN130" s="312"/>
      <c r="BO130" s="312"/>
      <c r="BP130" s="312"/>
      <c r="BQ130" s="312"/>
      <c r="BR130" s="312"/>
      <c r="BS130" s="312"/>
      <c r="BT130" s="312"/>
      <c r="BU130" s="312"/>
      <c r="BV130" s="312"/>
      <c r="BW130" s="312"/>
      <c r="BX130" s="312"/>
      <c r="BY130" s="312"/>
      <c r="BZ130" s="312"/>
      <c r="CA130" s="312"/>
      <c r="CB130" s="312"/>
      <c r="CC130" s="312"/>
      <c r="CD130" s="312"/>
      <c r="CE130" s="312"/>
      <c r="CF130" s="312"/>
      <c r="CG130" s="312"/>
      <c r="CH130" s="312"/>
      <c r="CI130" s="312"/>
      <c r="CJ130" s="312"/>
      <c r="CK130" s="312"/>
      <c r="CL130" s="312"/>
      <c r="CM130" s="312"/>
      <c r="CN130" s="312"/>
      <c r="CO130" s="312"/>
      <c r="CP130" s="312"/>
      <c r="CQ130" s="312"/>
      <c r="CR130" s="312"/>
    </row>
    <row r="131" spans="1:96" s="300" customFormat="1" ht="15.75" customHeight="1" thickBot="1">
      <c r="A131" s="313"/>
      <c r="B131" s="305" t="s">
        <v>673</v>
      </c>
      <c r="C131" s="340">
        <v>2880</v>
      </c>
      <c r="D131" s="340">
        <v>2821</v>
      </c>
      <c r="E131" s="341">
        <f t="shared" si="16"/>
        <v>-2.048611111111111</v>
      </c>
      <c r="F131" s="339">
        <v>7025</v>
      </c>
      <c r="G131" s="340">
        <v>7025</v>
      </c>
      <c r="H131" s="341">
        <f t="shared" si="17"/>
        <v>0</v>
      </c>
      <c r="I131" s="311"/>
      <c r="J131" s="311"/>
      <c r="K131" s="306"/>
      <c r="L131" s="310"/>
      <c r="M131" s="311"/>
      <c r="N131" s="306"/>
      <c r="O131" s="310"/>
      <c r="P131" s="311"/>
      <c r="Q131" s="306"/>
      <c r="R131" s="310"/>
      <c r="S131" s="311"/>
      <c r="T131" s="306"/>
      <c r="U131" s="310"/>
      <c r="V131" s="311"/>
      <c r="W131" s="306"/>
      <c r="X131" s="310"/>
      <c r="Y131" s="311"/>
      <c r="Z131" s="306"/>
      <c r="AA131" s="310"/>
      <c r="AB131" s="311"/>
      <c r="AC131" s="306"/>
      <c r="AD131" s="310"/>
      <c r="AE131" s="311"/>
      <c r="AF131" s="306"/>
      <c r="AG131" s="310"/>
      <c r="AH131" s="311"/>
      <c r="AI131" s="306"/>
      <c r="AJ131" s="310"/>
      <c r="AK131" s="311"/>
      <c r="AL131" s="306"/>
      <c r="AM131" s="310"/>
      <c r="AN131" s="311"/>
      <c r="AO131" s="306"/>
      <c r="AP131" s="310"/>
      <c r="AQ131" s="311"/>
      <c r="AR131" s="306"/>
      <c r="AS131" s="310"/>
      <c r="AT131" s="311"/>
      <c r="AU131" s="306"/>
      <c r="AV131" s="310"/>
      <c r="AW131" s="311"/>
      <c r="AX131" s="306"/>
      <c r="AY131" s="310"/>
      <c r="AZ131" s="311"/>
      <c r="BA131" s="306"/>
      <c r="BB131" s="310"/>
      <c r="BC131" s="311"/>
      <c r="BD131" s="306"/>
      <c r="BE131" s="312"/>
      <c r="BF131" s="312"/>
      <c r="BG131" s="312"/>
      <c r="BH131" s="312"/>
      <c r="BI131" s="312"/>
      <c r="BJ131" s="312"/>
      <c r="BK131" s="312"/>
      <c r="BL131" s="312"/>
      <c r="BM131" s="312"/>
      <c r="BN131" s="312"/>
      <c r="BO131" s="312"/>
      <c r="BP131" s="312"/>
      <c r="BQ131" s="312"/>
      <c r="BR131" s="312"/>
      <c r="BS131" s="312"/>
      <c r="BT131" s="312"/>
      <c r="BU131" s="312"/>
      <c r="BV131" s="312"/>
      <c r="BW131" s="312"/>
      <c r="BX131" s="312"/>
      <c r="BY131" s="312"/>
      <c r="BZ131" s="312"/>
      <c r="CA131" s="312"/>
      <c r="CB131" s="312"/>
      <c r="CC131" s="312"/>
      <c r="CD131" s="312"/>
      <c r="CE131" s="312"/>
      <c r="CF131" s="312"/>
      <c r="CG131" s="312"/>
      <c r="CH131" s="312"/>
      <c r="CI131" s="312"/>
      <c r="CJ131" s="312"/>
      <c r="CK131" s="312"/>
      <c r="CL131" s="312"/>
      <c r="CM131" s="312"/>
      <c r="CN131" s="312"/>
      <c r="CO131" s="312"/>
      <c r="CP131" s="312"/>
      <c r="CQ131" s="312"/>
      <c r="CR131" s="312"/>
    </row>
    <row r="132" spans="1:96" s="300" customFormat="1" ht="15.75" customHeight="1" thickBot="1">
      <c r="A132" s="313"/>
      <c r="B132" s="305" t="s">
        <v>76</v>
      </c>
      <c r="C132" s="311">
        <v>2670</v>
      </c>
      <c r="D132" s="311">
        <v>2734</v>
      </c>
      <c r="E132" s="306">
        <f t="shared" si="16"/>
        <v>2.397003745318352</v>
      </c>
      <c r="F132" s="310">
        <v>5970</v>
      </c>
      <c r="G132" s="311">
        <v>5970</v>
      </c>
      <c r="H132" s="306">
        <f t="shared" si="17"/>
        <v>0</v>
      </c>
      <c r="I132" s="310"/>
      <c r="J132" s="311"/>
      <c r="K132" s="306"/>
      <c r="L132" s="310"/>
      <c r="M132" s="311"/>
      <c r="N132" s="306"/>
      <c r="O132" s="310"/>
      <c r="P132" s="311"/>
      <c r="Q132" s="306"/>
      <c r="R132" s="310"/>
      <c r="S132" s="311"/>
      <c r="T132" s="306"/>
      <c r="U132" s="310"/>
      <c r="V132" s="311"/>
      <c r="W132" s="306"/>
      <c r="X132" s="310"/>
      <c r="Y132" s="311"/>
      <c r="Z132" s="306"/>
      <c r="AA132" s="310"/>
      <c r="AB132" s="311"/>
      <c r="AC132" s="306"/>
      <c r="AD132" s="310"/>
      <c r="AE132" s="311"/>
      <c r="AF132" s="306"/>
      <c r="AG132" s="310"/>
      <c r="AH132" s="311"/>
      <c r="AI132" s="306"/>
      <c r="AJ132" s="310"/>
      <c r="AK132" s="311"/>
      <c r="AL132" s="306"/>
      <c r="AM132" s="310"/>
      <c r="AN132" s="311"/>
      <c r="AO132" s="306"/>
      <c r="AP132" s="310"/>
      <c r="AQ132" s="311"/>
      <c r="AR132" s="306"/>
      <c r="AS132" s="310"/>
      <c r="AT132" s="311"/>
      <c r="AU132" s="306"/>
      <c r="AV132" s="310"/>
      <c r="AW132" s="311"/>
      <c r="AX132" s="306"/>
      <c r="AY132" s="310"/>
      <c r="AZ132" s="311"/>
      <c r="BA132" s="306"/>
      <c r="BB132" s="310"/>
      <c r="BC132" s="311"/>
      <c r="BD132" s="306"/>
      <c r="BE132" s="312"/>
      <c r="BF132" s="312"/>
      <c r="BG132" s="312"/>
      <c r="BH132" s="312"/>
      <c r="BI132" s="312"/>
      <c r="BJ132" s="312"/>
      <c r="BK132" s="312"/>
      <c r="BL132" s="312"/>
      <c r="BM132" s="312"/>
      <c r="BN132" s="312"/>
      <c r="BO132" s="312"/>
      <c r="BP132" s="312"/>
      <c r="BQ132" s="312"/>
      <c r="BR132" s="312"/>
      <c r="BS132" s="312"/>
      <c r="BT132" s="312"/>
      <c r="BU132" s="312"/>
      <c r="BV132" s="312"/>
      <c r="BW132" s="312"/>
      <c r="BX132" s="312"/>
      <c r="BY132" s="312"/>
      <c r="BZ132" s="312"/>
      <c r="CA132" s="312"/>
      <c r="CB132" s="312"/>
      <c r="CC132" s="312"/>
      <c r="CD132" s="312"/>
      <c r="CE132" s="312"/>
      <c r="CF132" s="312"/>
      <c r="CG132" s="312"/>
      <c r="CH132" s="312"/>
      <c r="CI132" s="312"/>
      <c r="CJ132" s="312"/>
      <c r="CK132" s="312"/>
      <c r="CL132" s="312"/>
      <c r="CM132" s="312"/>
      <c r="CN132" s="312"/>
      <c r="CO132" s="312"/>
      <c r="CP132" s="312"/>
      <c r="CQ132" s="312"/>
      <c r="CR132" s="312"/>
    </row>
    <row r="133" spans="1:96" s="300" customFormat="1" ht="15.75" customHeight="1" thickBot="1">
      <c r="A133" s="313"/>
      <c r="B133" s="305" t="s">
        <v>473</v>
      </c>
      <c r="C133" s="311">
        <v>2695</v>
      </c>
      <c r="D133" s="311">
        <v>2805.5</v>
      </c>
      <c r="E133" s="306">
        <f t="shared" si="16"/>
        <v>4.100185528756958</v>
      </c>
      <c r="F133" s="339">
        <v>6145</v>
      </c>
      <c r="G133" s="340">
        <v>6881.5</v>
      </c>
      <c r="H133" s="341">
        <f aca="true" t="shared" si="20" ref="H133:H150">IF(F133&gt;0,(((G133-F133)/F133)*100),0)</f>
        <v>11.985353946297803</v>
      </c>
      <c r="I133" s="310"/>
      <c r="J133" s="311"/>
      <c r="K133" s="306"/>
      <c r="L133" s="310"/>
      <c r="M133" s="311"/>
      <c r="N133" s="306"/>
      <c r="O133" s="310"/>
      <c r="P133" s="311"/>
      <c r="Q133" s="306"/>
      <c r="R133" s="310"/>
      <c r="S133" s="311"/>
      <c r="T133" s="306"/>
      <c r="U133" s="310"/>
      <c r="V133" s="311"/>
      <c r="W133" s="306"/>
      <c r="X133" s="310"/>
      <c r="Y133" s="311"/>
      <c r="Z133" s="306"/>
      <c r="AA133" s="310"/>
      <c r="AB133" s="311"/>
      <c r="AC133" s="306"/>
      <c r="AD133" s="310"/>
      <c r="AE133" s="311"/>
      <c r="AF133" s="306"/>
      <c r="AG133" s="310"/>
      <c r="AH133" s="311"/>
      <c r="AI133" s="306"/>
      <c r="AJ133" s="310"/>
      <c r="AK133" s="311"/>
      <c r="AL133" s="306"/>
      <c r="AM133" s="310"/>
      <c r="AN133" s="311"/>
      <c r="AO133" s="306"/>
      <c r="AP133" s="310"/>
      <c r="AQ133" s="311"/>
      <c r="AR133" s="306"/>
      <c r="AS133" s="310"/>
      <c r="AT133" s="311"/>
      <c r="AU133" s="306"/>
      <c r="AV133" s="310"/>
      <c r="AW133" s="311"/>
      <c r="AX133" s="306"/>
      <c r="AY133" s="310"/>
      <c r="AZ133" s="311"/>
      <c r="BA133" s="306"/>
      <c r="BB133" s="310"/>
      <c r="BC133" s="311"/>
      <c r="BD133" s="306"/>
      <c r="BE133" s="312"/>
      <c r="BF133" s="312"/>
      <c r="BG133" s="312"/>
      <c r="BH133" s="312"/>
      <c r="BI133" s="312"/>
      <c r="BJ133" s="312"/>
      <c r="BK133" s="312"/>
      <c r="BL133" s="312"/>
      <c r="BM133" s="312"/>
      <c r="BN133" s="312"/>
      <c r="BO133" s="312"/>
      <c r="BP133" s="312"/>
      <c r="BQ133" s="312"/>
      <c r="BR133" s="312"/>
      <c r="BS133" s="312"/>
      <c r="BT133" s="312"/>
      <c r="BU133" s="312"/>
      <c r="BV133" s="312"/>
      <c r="BW133" s="312"/>
      <c r="BX133" s="312"/>
      <c r="BY133" s="312"/>
      <c r="BZ133" s="312"/>
      <c r="CA133" s="312"/>
      <c r="CB133" s="312"/>
      <c r="CC133" s="312"/>
      <c r="CD133" s="312"/>
      <c r="CE133" s="312"/>
      <c r="CF133" s="312"/>
      <c r="CG133" s="312"/>
      <c r="CH133" s="312"/>
      <c r="CI133" s="312"/>
      <c r="CJ133" s="312"/>
      <c r="CK133" s="312"/>
      <c r="CL133" s="312"/>
      <c r="CM133" s="312"/>
      <c r="CN133" s="312"/>
      <c r="CO133" s="312"/>
      <c r="CP133" s="312"/>
      <c r="CQ133" s="312"/>
      <c r="CR133" s="312"/>
    </row>
    <row r="134" spans="1:96" s="300" customFormat="1" ht="15.75" customHeight="1">
      <c r="A134" s="313"/>
      <c r="B134" s="305" t="s">
        <v>77</v>
      </c>
      <c r="C134" s="311"/>
      <c r="D134" s="311"/>
      <c r="E134" s="306">
        <f aca="true" t="shared" si="21" ref="E134:E150">IF(C134&gt;0,(((D134-C134)/C134)*100),0)</f>
        <v>0</v>
      </c>
      <c r="F134" s="310"/>
      <c r="G134" s="311"/>
      <c r="H134" s="306">
        <f t="shared" si="20"/>
        <v>0</v>
      </c>
      <c r="I134" s="310"/>
      <c r="J134" s="311"/>
      <c r="K134" s="306"/>
      <c r="L134" s="310"/>
      <c r="M134" s="311"/>
      <c r="N134" s="306"/>
      <c r="O134" s="310"/>
      <c r="P134" s="311"/>
      <c r="Q134" s="306"/>
      <c r="R134" s="310"/>
      <c r="S134" s="311"/>
      <c r="T134" s="306"/>
      <c r="U134" s="310"/>
      <c r="V134" s="311"/>
      <c r="W134" s="306"/>
      <c r="X134" s="310"/>
      <c r="Y134" s="311"/>
      <c r="Z134" s="306"/>
      <c r="AA134" s="310"/>
      <c r="AB134" s="311"/>
      <c r="AC134" s="306"/>
      <c r="AD134" s="310"/>
      <c r="AE134" s="311"/>
      <c r="AF134" s="306"/>
      <c r="AG134" s="310"/>
      <c r="AH134" s="311"/>
      <c r="AI134" s="306"/>
      <c r="AJ134" s="310"/>
      <c r="AK134" s="311"/>
      <c r="AL134" s="306"/>
      <c r="AM134" s="310"/>
      <c r="AN134" s="311"/>
      <c r="AO134" s="306"/>
      <c r="AP134" s="310"/>
      <c r="AQ134" s="311"/>
      <c r="AR134" s="306"/>
      <c r="AS134" s="310"/>
      <c r="AT134" s="311"/>
      <c r="AU134" s="306"/>
      <c r="AV134" s="310"/>
      <c r="AW134" s="311"/>
      <c r="AX134" s="306"/>
      <c r="AY134" s="310"/>
      <c r="AZ134" s="311"/>
      <c r="BA134" s="306"/>
      <c r="BB134" s="310"/>
      <c r="BC134" s="311"/>
      <c r="BD134" s="306"/>
      <c r="BE134" s="312"/>
      <c r="BF134" s="312"/>
      <c r="BG134" s="312"/>
      <c r="BH134" s="312"/>
      <c r="BI134" s="312"/>
      <c r="BJ134" s="312"/>
      <c r="BK134" s="312"/>
      <c r="BL134" s="312"/>
      <c r="BM134" s="312"/>
      <c r="BN134" s="312"/>
      <c r="BO134" s="312"/>
      <c r="BP134" s="312"/>
      <c r="BQ134" s="312"/>
      <c r="BR134" s="312"/>
      <c r="BS134" s="312"/>
      <c r="BT134" s="312"/>
      <c r="BU134" s="312"/>
      <c r="BV134" s="312"/>
      <c r="BW134" s="312"/>
      <c r="BX134" s="312"/>
      <c r="BY134" s="312"/>
      <c r="BZ134" s="312"/>
      <c r="CA134" s="312"/>
      <c r="CB134" s="312"/>
      <c r="CC134" s="312"/>
      <c r="CD134" s="312"/>
      <c r="CE134" s="312"/>
      <c r="CF134" s="312"/>
      <c r="CG134" s="312"/>
      <c r="CH134" s="312"/>
      <c r="CI134" s="312"/>
      <c r="CJ134" s="312"/>
      <c r="CK134" s="312"/>
      <c r="CL134" s="312"/>
      <c r="CM134" s="312"/>
      <c r="CN134" s="312"/>
      <c r="CO134" s="312"/>
      <c r="CP134" s="312"/>
      <c r="CQ134" s="312"/>
      <c r="CR134" s="312"/>
    </row>
    <row r="135" spans="1:96" s="300" customFormat="1" ht="15.75" customHeight="1">
      <c r="A135" s="313"/>
      <c r="B135" s="305" t="s">
        <v>63</v>
      </c>
      <c r="C135" s="311"/>
      <c r="D135" s="311"/>
      <c r="E135" s="306">
        <f t="shared" si="21"/>
        <v>0</v>
      </c>
      <c r="F135" s="310"/>
      <c r="G135" s="311"/>
      <c r="H135" s="306">
        <f t="shared" si="20"/>
        <v>0</v>
      </c>
      <c r="I135" s="310"/>
      <c r="J135" s="311"/>
      <c r="K135" s="306"/>
      <c r="L135" s="310"/>
      <c r="M135" s="311"/>
      <c r="N135" s="306"/>
      <c r="O135" s="310"/>
      <c r="P135" s="311"/>
      <c r="Q135" s="306"/>
      <c r="R135" s="310"/>
      <c r="S135" s="311"/>
      <c r="T135" s="306"/>
      <c r="U135" s="310"/>
      <c r="V135" s="311"/>
      <c r="W135" s="306"/>
      <c r="X135" s="310"/>
      <c r="Y135" s="311"/>
      <c r="Z135" s="306"/>
      <c r="AA135" s="310"/>
      <c r="AB135" s="311"/>
      <c r="AC135" s="306"/>
      <c r="AD135" s="310"/>
      <c r="AE135" s="311"/>
      <c r="AF135" s="306"/>
      <c r="AG135" s="310"/>
      <c r="AH135" s="311"/>
      <c r="AI135" s="306"/>
      <c r="AJ135" s="310"/>
      <c r="AK135" s="311"/>
      <c r="AL135" s="306"/>
      <c r="AM135" s="310"/>
      <c r="AN135" s="311"/>
      <c r="AO135" s="306"/>
      <c r="AP135" s="310"/>
      <c r="AQ135" s="311"/>
      <c r="AR135" s="306"/>
      <c r="AS135" s="310"/>
      <c r="AT135" s="311"/>
      <c r="AU135" s="306"/>
      <c r="AV135" s="310"/>
      <c r="AW135" s="311"/>
      <c r="AX135" s="306"/>
      <c r="AY135" s="310"/>
      <c r="AZ135" s="311"/>
      <c r="BA135" s="306"/>
      <c r="BB135" s="310"/>
      <c r="BC135" s="311"/>
      <c r="BD135" s="306"/>
      <c r="BE135" s="312"/>
      <c r="BF135" s="312"/>
      <c r="BG135" s="312"/>
      <c r="BH135" s="312"/>
      <c r="BI135" s="312"/>
      <c r="BJ135" s="312"/>
      <c r="BK135" s="312"/>
      <c r="BL135" s="312"/>
      <c r="BM135" s="312"/>
      <c r="BN135" s="312"/>
      <c r="BO135" s="312"/>
      <c r="BP135" s="312"/>
      <c r="BQ135" s="312"/>
      <c r="BR135" s="312"/>
      <c r="BS135" s="312"/>
      <c r="BT135" s="312"/>
      <c r="BU135" s="312"/>
      <c r="BV135" s="312"/>
      <c r="BW135" s="312"/>
      <c r="BX135" s="312"/>
      <c r="BY135" s="312"/>
      <c r="BZ135" s="312"/>
      <c r="CA135" s="312"/>
      <c r="CB135" s="312"/>
      <c r="CC135" s="312"/>
      <c r="CD135" s="312"/>
      <c r="CE135" s="312"/>
      <c r="CF135" s="312"/>
      <c r="CG135" s="312"/>
      <c r="CH135" s="312"/>
      <c r="CI135" s="312"/>
      <c r="CJ135" s="312"/>
      <c r="CK135" s="312"/>
      <c r="CL135" s="312"/>
      <c r="CM135" s="312"/>
      <c r="CN135" s="312"/>
      <c r="CO135" s="312"/>
      <c r="CP135" s="312"/>
      <c r="CQ135" s="312"/>
      <c r="CR135" s="312"/>
    </row>
    <row r="136" spans="1:96" s="300" customFormat="1" ht="15.75" customHeight="1">
      <c r="A136" s="313"/>
      <c r="B136" s="305" t="s">
        <v>64</v>
      </c>
      <c r="C136" s="311"/>
      <c r="D136" s="311"/>
      <c r="E136" s="306">
        <f t="shared" si="21"/>
        <v>0</v>
      </c>
      <c r="F136" s="310"/>
      <c r="G136" s="311"/>
      <c r="H136" s="306">
        <f t="shared" si="20"/>
        <v>0</v>
      </c>
      <c r="I136" s="310"/>
      <c r="J136" s="311"/>
      <c r="K136" s="306"/>
      <c r="L136" s="310"/>
      <c r="M136" s="311"/>
      <c r="N136" s="306"/>
      <c r="O136" s="310"/>
      <c r="P136" s="311"/>
      <c r="Q136" s="306"/>
      <c r="R136" s="310"/>
      <c r="S136" s="311"/>
      <c r="T136" s="306"/>
      <c r="U136" s="310"/>
      <c r="V136" s="311"/>
      <c r="W136" s="306"/>
      <c r="X136" s="310"/>
      <c r="Y136" s="311"/>
      <c r="Z136" s="306"/>
      <c r="AA136" s="310"/>
      <c r="AB136" s="311"/>
      <c r="AC136" s="306"/>
      <c r="AD136" s="310"/>
      <c r="AE136" s="311"/>
      <c r="AF136" s="306"/>
      <c r="AG136" s="310"/>
      <c r="AH136" s="311"/>
      <c r="AI136" s="306"/>
      <c r="AJ136" s="310"/>
      <c r="AK136" s="311"/>
      <c r="AL136" s="306"/>
      <c r="AM136" s="310"/>
      <c r="AN136" s="311"/>
      <c r="AO136" s="306"/>
      <c r="AP136" s="310"/>
      <c r="AQ136" s="311"/>
      <c r="AR136" s="306"/>
      <c r="AS136" s="310"/>
      <c r="AT136" s="311"/>
      <c r="AU136" s="306"/>
      <c r="AV136" s="310"/>
      <c r="AW136" s="311"/>
      <c r="AX136" s="306"/>
      <c r="AY136" s="310"/>
      <c r="AZ136" s="311"/>
      <c r="BA136" s="306"/>
      <c r="BB136" s="310"/>
      <c r="BC136" s="311"/>
      <c r="BD136" s="306"/>
      <c r="BE136" s="312"/>
      <c r="BF136" s="312"/>
      <c r="BG136" s="312"/>
      <c r="BH136" s="312"/>
      <c r="BI136" s="312"/>
      <c r="BJ136" s="312"/>
      <c r="BK136" s="312"/>
      <c r="BL136" s="312"/>
      <c r="BM136" s="312"/>
      <c r="BN136" s="312"/>
      <c r="BO136" s="312"/>
      <c r="BP136" s="312"/>
      <c r="BQ136" s="312"/>
      <c r="BR136" s="312"/>
      <c r="BS136" s="312"/>
      <c r="BT136" s="312"/>
      <c r="BU136" s="312"/>
      <c r="BV136" s="312"/>
      <c r="BW136" s="312"/>
      <c r="BX136" s="312"/>
      <c r="BY136" s="312"/>
      <c r="BZ136" s="312"/>
      <c r="CA136" s="312"/>
      <c r="CB136" s="312"/>
      <c r="CC136" s="312"/>
      <c r="CD136" s="312"/>
      <c r="CE136" s="312"/>
      <c r="CF136" s="312"/>
      <c r="CG136" s="312"/>
      <c r="CH136" s="312"/>
      <c r="CI136" s="312"/>
      <c r="CJ136" s="312"/>
      <c r="CK136" s="312"/>
      <c r="CL136" s="312"/>
      <c r="CM136" s="312"/>
      <c r="CN136" s="312"/>
      <c r="CO136" s="312"/>
      <c r="CP136" s="312"/>
      <c r="CQ136" s="312"/>
      <c r="CR136" s="312"/>
    </row>
    <row r="137" spans="1:96" s="300" customFormat="1" ht="15.75" customHeight="1">
      <c r="A137" s="313"/>
      <c r="B137" s="305" t="s">
        <v>970</v>
      </c>
      <c r="C137" s="311"/>
      <c r="D137" s="311"/>
      <c r="E137" s="306">
        <f t="shared" si="21"/>
        <v>0</v>
      </c>
      <c r="F137" s="310"/>
      <c r="G137" s="311"/>
      <c r="H137" s="306">
        <f t="shared" si="20"/>
        <v>0</v>
      </c>
      <c r="I137" s="310"/>
      <c r="J137" s="311"/>
      <c r="K137" s="306"/>
      <c r="L137" s="310"/>
      <c r="M137" s="311"/>
      <c r="N137" s="306"/>
      <c r="O137" s="310"/>
      <c r="P137" s="311"/>
      <c r="Q137" s="306"/>
      <c r="R137" s="310"/>
      <c r="S137" s="311"/>
      <c r="T137" s="306"/>
      <c r="U137" s="310"/>
      <c r="V137" s="311"/>
      <c r="W137" s="306"/>
      <c r="X137" s="310"/>
      <c r="Y137" s="311"/>
      <c r="Z137" s="306"/>
      <c r="AA137" s="310"/>
      <c r="AB137" s="311"/>
      <c r="AC137" s="306"/>
      <c r="AD137" s="310"/>
      <c r="AE137" s="311"/>
      <c r="AF137" s="306"/>
      <c r="AG137" s="310"/>
      <c r="AH137" s="311"/>
      <c r="AI137" s="306"/>
      <c r="AJ137" s="310"/>
      <c r="AK137" s="311"/>
      <c r="AL137" s="306"/>
      <c r="AM137" s="310"/>
      <c r="AN137" s="311"/>
      <c r="AO137" s="306"/>
      <c r="AP137" s="310"/>
      <c r="AQ137" s="311"/>
      <c r="AR137" s="306"/>
      <c r="AS137" s="310"/>
      <c r="AT137" s="311"/>
      <c r="AU137" s="306"/>
      <c r="AV137" s="310"/>
      <c r="AW137" s="311"/>
      <c r="AX137" s="306"/>
      <c r="AY137" s="310"/>
      <c r="AZ137" s="311"/>
      <c r="BA137" s="306"/>
      <c r="BB137" s="310"/>
      <c r="BC137" s="311"/>
      <c r="BD137" s="306"/>
      <c r="BE137" s="312"/>
      <c r="BF137" s="312"/>
      <c r="BG137" s="312"/>
      <c r="BH137" s="312"/>
      <c r="BI137" s="312"/>
      <c r="BJ137" s="312"/>
      <c r="BK137" s="312"/>
      <c r="BL137" s="312"/>
      <c r="BM137" s="312"/>
      <c r="BN137" s="312"/>
      <c r="BO137" s="312"/>
      <c r="BP137" s="312"/>
      <c r="BQ137" s="312"/>
      <c r="BR137" s="312"/>
      <c r="BS137" s="312"/>
      <c r="BT137" s="312"/>
      <c r="BU137" s="312"/>
      <c r="BV137" s="312"/>
      <c r="BW137" s="312"/>
      <c r="BX137" s="312"/>
      <c r="BY137" s="312"/>
      <c r="BZ137" s="312"/>
      <c r="CA137" s="312"/>
      <c r="CB137" s="312"/>
      <c r="CC137" s="312"/>
      <c r="CD137" s="312"/>
      <c r="CE137" s="312"/>
      <c r="CF137" s="312"/>
      <c r="CG137" s="312"/>
      <c r="CH137" s="312"/>
      <c r="CI137" s="312"/>
      <c r="CJ137" s="312"/>
      <c r="CK137" s="312"/>
      <c r="CL137" s="312"/>
      <c r="CM137" s="312"/>
      <c r="CN137" s="312"/>
      <c r="CO137" s="312"/>
      <c r="CP137" s="312"/>
      <c r="CQ137" s="312"/>
      <c r="CR137" s="312"/>
    </row>
    <row r="138" spans="1:96" s="321" customFormat="1" ht="15.75" customHeight="1">
      <c r="A138" s="314"/>
      <c r="B138" s="315"/>
      <c r="C138" s="317"/>
      <c r="D138" s="317"/>
      <c r="E138" s="318">
        <f t="shared" si="21"/>
        <v>0</v>
      </c>
      <c r="F138" s="316"/>
      <c r="G138" s="317"/>
      <c r="H138" s="318">
        <f t="shared" si="20"/>
        <v>0</v>
      </c>
      <c r="I138" s="316"/>
      <c r="J138" s="317"/>
      <c r="K138" s="318"/>
      <c r="L138" s="316"/>
      <c r="M138" s="317"/>
      <c r="N138" s="319"/>
      <c r="O138" s="316">
        <v>12881.5</v>
      </c>
      <c r="P138" s="317">
        <v>14040.5</v>
      </c>
      <c r="Q138" s="318">
        <f>IF(O138&gt;0,(((P138-O138)/O138)*100),0)</f>
        <v>8.997399371191243</v>
      </c>
      <c r="R138" s="316">
        <v>25431</v>
      </c>
      <c r="S138" s="317">
        <v>27272</v>
      </c>
      <c r="T138" s="318">
        <f>IF(R138&gt;0,(((S138-R138)/R138)*100),0)</f>
        <v>7.239196256537298</v>
      </c>
      <c r="U138" s="316">
        <v>18159</v>
      </c>
      <c r="V138" s="317">
        <v>19046</v>
      </c>
      <c r="W138" s="318">
        <f>IF(U138&gt;0,(((V138-U138)/U138)*100),0)</f>
        <v>4.884630210914698</v>
      </c>
      <c r="X138" s="316">
        <v>33224</v>
      </c>
      <c r="Y138" s="317">
        <v>34864</v>
      </c>
      <c r="Z138" s="318">
        <f>IF(X138&gt;0,(((Y138-X138)/X138)*100),0)</f>
        <v>4.936190705514086</v>
      </c>
      <c r="AA138" s="316">
        <v>15405</v>
      </c>
      <c r="AB138" s="317">
        <v>16155</v>
      </c>
      <c r="AC138" s="318">
        <f>IF(AA138&gt;0,(((AB138-AA138)/AA138)*100),0)</f>
        <v>4.868549172346641</v>
      </c>
      <c r="AD138" s="316">
        <v>31441</v>
      </c>
      <c r="AE138" s="317">
        <v>32993</v>
      </c>
      <c r="AF138" s="318">
        <f>IF(AD138&gt;0,(((AE138-AD138)/AD138)*100),0)</f>
        <v>4.936229763684361</v>
      </c>
      <c r="AG138" s="316">
        <v>10415</v>
      </c>
      <c r="AH138" s="317">
        <v>11338</v>
      </c>
      <c r="AI138" s="318">
        <f>IF(AG138&gt;0,(((AH138-AG138)/AG138)*100),0)</f>
        <v>8.86221795487278</v>
      </c>
      <c r="AJ138" s="316">
        <v>21086</v>
      </c>
      <c r="AK138" s="317">
        <v>23023</v>
      </c>
      <c r="AL138" s="318">
        <f>IF(AJ138&gt;0,(((AK138-AJ138)/AJ138)*100),0)</f>
        <v>9.186189889025894</v>
      </c>
      <c r="AM138" s="316"/>
      <c r="AN138" s="317"/>
      <c r="AO138" s="318"/>
      <c r="AP138" s="316"/>
      <c r="AQ138" s="317"/>
      <c r="AR138" s="318">
        <f>IF(AP138&gt;0,(((AQ138-AP138)/AP138)*100),0)</f>
        <v>0</v>
      </c>
      <c r="AS138" s="316"/>
      <c r="AT138" s="317"/>
      <c r="AU138" s="318"/>
      <c r="AV138" s="316"/>
      <c r="AW138" s="317"/>
      <c r="AX138" s="318"/>
      <c r="AY138" s="316"/>
      <c r="AZ138" s="317"/>
      <c r="BA138" s="318"/>
      <c r="BB138" s="316"/>
      <c r="BC138" s="317"/>
      <c r="BD138" s="318">
        <f>IF(BB138&gt;0,(((BC138-BB138)/BB138)*100),0)</f>
        <v>0</v>
      </c>
      <c r="BE138" s="320"/>
      <c r="BF138" s="320"/>
      <c r="BG138" s="320"/>
      <c r="BH138" s="320"/>
      <c r="BI138" s="320"/>
      <c r="BJ138" s="320"/>
      <c r="BK138" s="320"/>
      <c r="BL138" s="320"/>
      <c r="BM138" s="320"/>
      <c r="BN138" s="320"/>
      <c r="BO138" s="320"/>
      <c r="BP138" s="320"/>
      <c r="BQ138" s="320"/>
      <c r="BR138" s="320"/>
      <c r="BS138" s="320"/>
      <c r="BT138" s="320"/>
      <c r="BU138" s="320"/>
      <c r="BV138" s="320"/>
      <c r="BW138" s="320"/>
      <c r="BX138" s="320"/>
      <c r="BY138" s="320"/>
      <c r="BZ138" s="320"/>
      <c r="CA138" s="320"/>
      <c r="CB138" s="320"/>
      <c r="CC138" s="320"/>
      <c r="CD138" s="320"/>
      <c r="CE138" s="320"/>
      <c r="CF138" s="320"/>
      <c r="CG138" s="320"/>
      <c r="CH138" s="320"/>
      <c r="CI138" s="320"/>
      <c r="CJ138" s="320"/>
      <c r="CK138" s="320"/>
      <c r="CL138" s="320"/>
      <c r="CM138" s="320"/>
      <c r="CN138" s="320"/>
      <c r="CO138" s="320"/>
      <c r="CP138" s="320"/>
      <c r="CQ138" s="320"/>
      <c r="CR138" s="320"/>
    </row>
    <row r="139" spans="1:96" s="300" customFormat="1" ht="15.75" customHeight="1">
      <c r="A139" s="304" t="s">
        <v>960</v>
      </c>
      <c r="B139" s="305" t="s">
        <v>665</v>
      </c>
      <c r="C139" s="311">
        <v>3873</v>
      </c>
      <c r="D139" s="311">
        <v>4105</v>
      </c>
      <c r="E139" s="306">
        <f t="shared" si="21"/>
        <v>5.9901884843790345</v>
      </c>
      <c r="F139" s="310">
        <v>8751</v>
      </c>
      <c r="G139" s="311">
        <v>9276</v>
      </c>
      <c r="H139" s="306">
        <f t="shared" si="20"/>
        <v>5.999314364072678</v>
      </c>
      <c r="I139" s="310">
        <v>3873</v>
      </c>
      <c r="J139" s="311">
        <v>4105</v>
      </c>
      <c r="K139" s="306">
        <f aca="true" t="shared" si="22" ref="K139:K145">IF(I139&gt;0,(((J139-I139)/I139)*100),0)</f>
        <v>5.9901884843790345</v>
      </c>
      <c r="L139" s="310">
        <v>8751</v>
      </c>
      <c r="M139" s="311">
        <v>9276</v>
      </c>
      <c r="N139" s="306">
        <f aca="true" t="shared" si="23" ref="N139:N145">IF(L139&gt;0,(((M139-L139)/L139)*100),0)</f>
        <v>5.999314364072678</v>
      </c>
      <c r="O139" s="310"/>
      <c r="P139" s="311"/>
      <c r="Q139" s="306"/>
      <c r="R139" s="310"/>
      <c r="S139" s="311"/>
      <c r="T139" s="306"/>
      <c r="U139" s="310"/>
      <c r="V139" s="311"/>
      <c r="W139" s="306"/>
      <c r="X139" s="310"/>
      <c r="Y139" s="311"/>
      <c r="Z139" s="306"/>
      <c r="AA139" s="310"/>
      <c r="AB139" s="311"/>
      <c r="AC139" s="306"/>
      <c r="AD139" s="310"/>
      <c r="AE139" s="311"/>
      <c r="AF139" s="306"/>
      <c r="AG139" s="310"/>
      <c r="AH139" s="311"/>
      <c r="AI139" s="306"/>
      <c r="AJ139" s="310"/>
      <c r="AK139" s="311"/>
      <c r="AL139" s="306"/>
      <c r="AM139" s="310"/>
      <c r="AN139" s="311"/>
      <c r="AO139" s="306"/>
      <c r="AP139" s="310"/>
      <c r="AQ139" s="311"/>
      <c r="AR139" s="306"/>
      <c r="AS139" s="310"/>
      <c r="AT139" s="311"/>
      <c r="AU139" s="306"/>
      <c r="AV139" s="310"/>
      <c r="AW139" s="311"/>
      <c r="AX139" s="306"/>
      <c r="AY139" s="310"/>
      <c r="AZ139" s="311"/>
      <c r="BA139" s="306"/>
      <c r="BB139" s="310"/>
      <c r="BC139" s="311"/>
      <c r="BD139" s="306"/>
      <c r="BE139" s="312"/>
      <c r="BF139" s="312"/>
      <c r="BG139" s="312"/>
      <c r="BH139" s="312"/>
      <c r="BI139" s="312"/>
      <c r="BJ139" s="312"/>
      <c r="BK139" s="312"/>
      <c r="BL139" s="312"/>
      <c r="BM139" s="312"/>
      <c r="BN139" s="312"/>
      <c r="BO139" s="312"/>
      <c r="BP139" s="312"/>
      <c r="BQ139" s="312"/>
      <c r="BR139" s="312"/>
      <c r="BS139" s="312"/>
      <c r="BT139" s="312"/>
      <c r="BU139" s="312"/>
      <c r="BV139" s="312"/>
      <c r="BW139" s="312"/>
      <c r="BX139" s="312"/>
      <c r="BY139" s="312"/>
      <c r="BZ139" s="312"/>
      <c r="CA139" s="312"/>
      <c r="CB139" s="312"/>
      <c r="CC139" s="312"/>
      <c r="CD139" s="312"/>
      <c r="CE139" s="312"/>
      <c r="CF139" s="312"/>
      <c r="CG139" s="312"/>
      <c r="CH139" s="312"/>
      <c r="CI139" s="312"/>
      <c r="CJ139" s="312"/>
      <c r="CK139" s="312"/>
      <c r="CL139" s="312"/>
      <c r="CM139" s="312"/>
      <c r="CN139" s="312"/>
      <c r="CO139" s="312"/>
      <c r="CP139" s="312"/>
      <c r="CQ139" s="312"/>
      <c r="CR139" s="312"/>
    </row>
    <row r="140" spans="1:96" s="300" customFormat="1" ht="15.75" customHeight="1">
      <c r="A140" s="313"/>
      <c r="B140" s="305" t="s">
        <v>666</v>
      </c>
      <c r="C140" s="311">
        <v>3894.5</v>
      </c>
      <c r="D140" s="311">
        <v>4107.5</v>
      </c>
      <c r="E140" s="306">
        <f t="shared" si="21"/>
        <v>5.469251508537681</v>
      </c>
      <c r="F140" s="310">
        <v>8802</v>
      </c>
      <c r="G140" s="311">
        <v>9284</v>
      </c>
      <c r="H140" s="306">
        <f t="shared" si="20"/>
        <v>5.476028175414679</v>
      </c>
      <c r="I140" s="310">
        <v>3894.5</v>
      </c>
      <c r="J140" s="311">
        <v>4107.5</v>
      </c>
      <c r="K140" s="306">
        <f t="shared" si="22"/>
        <v>5.469251508537681</v>
      </c>
      <c r="L140" s="310">
        <v>8802</v>
      </c>
      <c r="M140" s="311">
        <v>9284</v>
      </c>
      <c r="N140" s="306">
        <f t="shared" si="23"/>
        <v>5.476028175414679</v>
      </c>
      <c r="O140" s="310"/>
      <c r="P140" s="311"/>
      <c r="Q140" s="306"/>
      <c r="R140" s="310"/>
      <c r="S140" s="311"/>
      <c r="T140" s="306"/>
      <c r="U140" s="310"/>
      <c r="V140" s="311"/>
      <c r="W140" s="306"/>
      <c r="X140" s="310"/>
      <c r="Y140" s="311"/>
      <c r="Z140" s="306"/>
      <c r="AA140" s="310"/>
      <c r="AB140" s="311"/>
      <c r="AC140" s="306"/>
      <c r="AD140" s="310"/>
      <c r="AE140" s="311"/>
      <c r="AF140" s="306"/>
      <c r="AG140" s="310"/>
      <c r="AH140" s="311"/>
      <c r="AI140" s="306"/>
      <c r="AJ140" s="310"/>
      <c r="AK140" s="311"/>
      <c r="AL140" s="306"/>
      <c r="AM140" s="310"/>
      <c r="AN140" s="311"/>
      <c r="AO140" s="306"/>
      <c r="AP140" s="310"/>
      <c r="AQ140" s="311"/>
      <c r="AR140" s="306"/>
      <c r="AS140" s="310"/>
      <c r="AT140" s="311"/>
      <c r="AU140" s="306"/>
      <c r="AV140" s="310"/>
      <c r="AW140" s="311"/>
      <c r="AX140" s="306"/>
      <c r="AY140" s="310"/>
      <c r="AZ140" s="311"/>
      <c r="BA140" s="306"/>
      <c r="BB140" s="310"/>
      <c r="BC140" s="311"/>
      <c r="BD140" s="306"/>
      <c r="BE140" s="312"/>
      <c r="BF140" s="312"/>
      <c r="BG140" s="312"/>
      <c r="BH140" s="312"/>
      <c r="BI140" s="312"/>
      <c r="BJ140" s="312"/>
      <c r="BK140" s="312"/>
      <c r="BL140" s="312"/>
      <c r="BM140" s="312"/>
      <c r="BN140" s="312"/>
      <c r="BO140" s="312"/>
      <c r="BP140" s="312"/>
      <c r="BQ140" s="312"/>
      <c r="BR140" s="312"/>
      <c r="BS140" s="312"/>
      <c r="BT140" s="312"/>
      <c r="BU140" s="312"/>
      <c r="BV140" s="312"/>
      <c r="BW140" s="312"/>
      <c r="BX140" s="312"/>
      <c r="BY140" s="312"/>
      <c r="BZ140" s="312"/>
      <c r="CA140" s="312"/>
      <c r="CB140" s="312"/>
      <c r="CC140" s="312"/>
      <c r="CD140" s="312"/>
      <c r="CE140" s="312"/>
      <c r="CF140" s="312"/>
      <c r="CG140" s="312"/>
      <c r="CH140" s="312"/>
      <c r="CI140" s="312"/>
      <c r="CJ140" s="312"/>
      <c r="CK140" s="312"/>
      <c r="CL140" s="312"/>
      <c r="CM140" s="312"/>
      <c r="CN140" s="312"/>
      <c r="CO140" s="312"/>
      <c r="CP140" s="312"/>
      <c r="CQ140" s="312"/>
      <c r="CR140" s="312"/>
    </row>
    <row r="141" spans="1:96" s="300" customFormat="1" ht="15.75" customHeight="1">
      <c r="A141" s="313"/>
      <c r="B141" s="305" t="s">
        <v>667</v>
      </c>
      <c r="C141" s="311">
        <v>3612</v>
      </c>
      <c r="D141" s="311">
        <v>3841</v>
      </c>
      <c r="E141" s="306">
        <f t="shared" si="21"/>
        <v>6.3399778516057586</v>
      </c>
      <c r="F141" s="310">
        <v>8116</v>
      </c>
      <c r="G141" s="311">
        <v>8570</v>
      </c>
      <c r="H141" s="306">
        <f t="shared" si="20"/>
        <v>5.593888615081321</v>
      </c>
      <c r="I141" s="310">
        <v>3612</v>
      </c>
      <c r="J141" s="311">
        <v>3841</v>
      </c>
      <c r="K141" s="306">
        <f t="shared" si="22"/>
        <v>6.3399778516057586</v>
      </c>
      <c r="L141" s="310">
        <v>8116</v>
      </c>
      <c r="M141" s="311">
        <v>8570</v>
      </c>
      <c r="N141" s="306">
        <f t="shared" si="23"/>
        <v>5.593888615081321</v>
      </c>
      <c r="O141" s="310"/>
      <c r="P141" s="311"/>
      <c r="Q141" s="306"/>
      <c r="R141" s="310"/>
      <c r="S141" s="311"/>
      <c r="T141" s="306"/>
      <c r="U141" s="310"/>
      <c r="V141" s="311"/>
      <c r="W141" s="306"/>
      <c r="X141" s="310"/>
      <c r="Y141" s="311"/>
      <c r="Z141" s="306"/>
      <c r="AA141" s="310"/>
      <c r="AB141" s="311"/>
      <c r="AC141" s="306"/>
      <c r="AD141" s="310"/>
      <c r="AE141" s="311"/>
      <c r="AF141" s="306"/>
      <c r="AG141" s="310"/>
      <c r="AH141" s="311"/>
      <c r="AI141" s="306"/>
      <c r="AJ141" s="310"/>
      <c r="AK141" s="311"/>
      <c r="AL141" s="306"/>
      <c r="AM141" s="310"/>
      <c r="AN141" s="311"/>
      <c r="AO141" s="306"/>
      <c r="AP141" s="310"/>
      <c r="AQ141" s="311"/>
      <c r="AR141" s="306"/>
      <c r="AS141" s="310"/>
      <c r="AT141" s="311"/>
      <c r="AU141" s="306"/>
      <c r="AV141" s="310"/>
      <c r="AW141" s="311"/>
      <c r="AX141" s="306"/>
      <c r="AY141" s="310"/>
      <c r="AZ141" s="311"/>
      <c r="BA141" s="306"/>
      <c r="BB141" s="310"/>
      <c r="BC141" s="311"/>
      <c r="BD141" s="306"/>
      <c r="BE141" s="312"/>
      <c r="BF141" s="312"/>
      <c r="BG141" s="312"/>
      <c r="BH141" s="312"/>
      <c r="BI141" s="312"/>
      <c r="BJ141" s="312"/>
      <c r="BK141" s="312"/>
      <c r="BL141" s="312"/>
      <c r="BM141" s="312"/>
      <c r="BN141" s="312"/>
      <c r="BO141" s="312"/>
      <c r="BP141" s="312"/>
      <c r="BQ141" s="312"/>
      <c r="BR141" s="312"/>
      <c r="BS141" s="312"/>
      <c r="BT141" s="312"/>
      <c r="BU141" s="312"/>
      <c r="BV141" s="312"/>
      <c r="BW141" s="312"/>
      <c r="BX141" s="312"/>
      <c r="BY141" s="312"/>
      <c r="BZ141" s="312"/>
      <c r="CA141" s="312"/>
      <c r="CB141" s="312"/>
      <c r="CC141" s="312"/>
      <c r="CD141" s="312"/>
      <c r="CE141" s="312"/>
      <c r="CF141" s="312"/>
      <c r="CG141" s="312"/>
      <c r="CH141" s="312"/>
      <c r="CI141" s="312"/>
      <c r="CJ141" s="312"/>
      <c r="CK141" s="312"/>
      <c r="CL141" s="312"/>
      <c r="CM141" s="312"/>
      <c r="CN141" s="312"/>
      <c r="CO141" s="312"/>
      <c r="CP141" s="312"/>
      <c r="CQ141" s="312"/>
      <c r="CR141" s="312"/>
    </row>
    <row r="142" spans="1:96" s="300" customFormat="1" ht="15.75" customHeight="1">
      <c r="A142" s="313"/>
      <c r="B142" s="305" t="s">
        <v>668</v>
      </c>
      <c r="C142" s="311">
        <v>3403.5</v>
      </c>
      <c r="D142" s="311">
        <v>3657</v>
      </c>
      <c r="E142" s="306">
        <f t="shared" si="21"/>
        <v>7.448215072719259</v>
      </c>
      <c r="F142" s="310">
        <v>7965</v>
      </c>
      <c r="G142" s="311">
        <v>8492</v>
      </c>
      <c r="H142" s="306">
        <f t="shared" si="20"/>
        <v>6.616446955430007</v>
      </c>
      <c r="I142" s="310">
        <v>3270</v>
      </c>
      <c r="J142" s="311">
        <v>3523.5</v>
      </c>
      <c r="K142" s="306">
        <f t="shared" si="22"/>
        <v>7.752293577981652</v>
      </c>
      <c r="L142" s="310">
        <v>7831.5</v>
      </c>
      <c r="M142" s="311">
        <v>8358.5</v>
      </c>
      <c r="N142" s="306">
        <f t="shared" si="23"/>
        <v>6.729234501691886</v>
      </c>
      <c r="O142" s="310"/>
      <c r="P142" s="311"/>
      <c r="Q142" s="306"/>
      <c r="R142" s="310"/>
      <c r="S142" s="311"/>
      <c r="T142" s="306"/>
      <c r="U142" s="310"/>
      <c r="V142" s="311"/>
      <c r="W142" s="306"/>
      <c r="X142" s="310"/>
      <c r="Y142" s="311"/>
      <c r="Z142" s="306"/>
      <c r="AA142" s="310"/>
      <c r="AB142" s="311"/>
      <c r="AC142" s="306"/>
      <c r="AD142" s="310"/>
      <c r="AE142" s="311"/>
      <c r="AF142" s="306"/>
      <c r="AG142" s="310"/>
      <c r="AH142" s="311"/>
      <c r="AI142" s="306"/>
      <c r="AJ142" s="310"/>
      <c r="AK142" s="311"/>
      <c r="AL142" s="306"/>
      <c r="AM142" s="310"/>
      <c r="AN142" s="311"/>
      <c r="AO142" s="306"/>
      <c r="AP142" s="310"/>
      <c r="AQ142" s="311"/>
      <c r="AR142" s="306"/>
      <c r="AS142" s="310"/>
      <c r="AT142" s="311"/>
      <c r="AU142" s="306"/>
      <c r="AV142" s="310"/>
      <c r="AW142" s="311"/>
      <c r="AX142" s="306"/>
      <c r="AY142" s="310"/>
      <c r="AZ142" s="311"/>
      <c r="BA142" s="306"/>
      <c r="BB142" s="310"/>
      <c r="BC142" s="311"/>
      <c r="BD142" s="306"/>
      <c r="BE142" s="312"/>
      <c r="BF142" s="312"/>
      <c r="BG142" s="312"/>
      <c r="BH142" s="312"/>
      <c r="BI142" s="312"/>
      <c r="BJ142" s="312"/>
      <c r="BK142" s="312"/>
      <c r="BL142" s="312"/>
      <c r="BM142" s="312"/>
      <c r="BN142" s="312"/>
      <c r="BO142" s="312"/>
      <c r="BP142" s="312"/>
      <c r="BQ142" s="312"/>
      <c r="BR142" s="312"/>
      <c r="BS142" s="312"/>
      <c r="BT142" s="312"/>
      <c r="BU142" s="312"/>
      <c r="BV142" s="312"/>
      <c r="BW142" s="312"/>
      <c r="BX142" s="312"/>
      <c r="BY142" s="312"/>
      <c r="BZ142" s="312"/>
      <c r="CA142" s="312"/>
      <c r="CB142" s="312"/>
      <c r="CC142" s="312"/>
      <c r="CD142" s="312"/>
      <c r="CE142" s="312"/>
      <c r="CF142" s="312"/>
      <c r="CG142" s="312"/>
      <c r="CH142" s="312"/>
      <c r="CI142" s="312"/>
      <c r="CJ142" s="312"/>
      <c r="CK142" s="312"/>
      <c r="CL142" s="312"/>
      <c r="CM142" s="312"/>
      <c r="CN142" s="312"/>
      <c r="CO142" s="312"/>
      <c r="CP142" s="312"/>
      <c r="CQ142" s="312"/>
      <c r="CR142" s="312"/>
    </row>
    <row r="143" spans="1:96" s="300" customFormat="1" ht="15.75" customHeight="1">
      <c r="A143" s="313"/>
      <c r="B143" s="305" t="s">
        <v>669</v>
      </c>
      <c r="C143" s="311">
        <v>3354.5</v>
      </c>
      <c r="D143" s="311">
        <v>3663.5</v>
      </c>
      <c r="E143" s="306">
        <f t="shared" si="21"/>
        <v>9.211506930988225</v>
      </c>
      <c r="F143" s="310">
        <v>7965</v>
      </c>
      <c r="G143" s="311">
        <v>8441.5</v>
      </c>
      <c r="H143" s="306">
        <f t="shared" si="20"/>
        <v>5.98242310106717</v>
      </c>
      <c r="I143" s="310">
        <v>3400</v>
      </c>
      <c r="J143" s="311">
        <v>3714</v>
      </c>
      <c r="K143" s="306">
        <f t="shared" si="22"/>
        <v>9.235294117647058</v>
      </c>
      <c r="L143" s="310">
        <v>8010.5</v>
      </c>
      <c r="M143" s="311">
        <v>8692</v>
      </c>
      <c r="N143" s="306">
        <f t="shared" si="23"/>
        <v>8.507583796267399</v>
      </c>
      <c r="O143" s="310"/>
      <c r="P143" s="311"/>
      <c r="Q143" s="306"/>
      <c r="R143" s="310"/>
      <c r="S143" s="311"/>
      <c r="T143" s="306"/>
      <c r="U143" s="310"/>
      <c r="V143" s="311"/>
      <c r="W143" s="306"/>
      <c r="X143" s="310"/>
      <c r="Y143" s="311"/>
      <c r="Z143" s="306"/>
      <c r="AA143" s="310"/>
      <c r="AB143" s="311"/>
      <c r="AC143" s="306"/>
      <c r="AD143" s="310"/>
      <c r="AE143" s="311"/>
      <c r="AF143" s="306"/>
      <c r="AG143" s="310"/>
      <c r="AH143" s="311"/>
      <c r="AI143" s="306"/>
      <c r="AJ143" s="310"/>
      <c r="AK143" s="311"/>
      <c r="AL143" s="306"/>
      <c r="AM143" s="310"/>
      <c r="AN143" s="311"/>
      <c r="AO143" s="306"/>
      <c r="AP143" s="310"/>
      <c r="AQ143" s="311"/>
      <c r="AR143" s="306"/>
      <c r="AS143" s="310"/>
      <c r="AT143" s="311"/>
      <c r="AU143" s="306"/>
      <c r="AV143" s="310"/>
      <c r="AW143" s="311"/>
      <c r="AX143" s="306"/>
      <c r="AY143" s="310"/>
      <c r="AZ143" s="311"/>
      <c r="BA143" s="306"/>
      <c r="BB143" s="310"/>
      <c r="BC143" s="311"/>
      <c r="BD143" s="306"/>
      <c r="BE143" s="312"/>
      <c r="BF143" s="312"/>
      <c r="BG143" s="312"/>
      <c r="BH143" s="312"/>
      <c r="BI143" s="312"/>
      <c r="BJ143" s="312"/>
      <c r="BK143" s="312"/>
      <c r="BL143" s="312"/>
      <c r="BM143" s="312"/>
      <c r="BN143" s="312"/>
      <c r="BO143" s="312"/>
      <c r="BP143" s="312"/>
      <c r="BQ143" s="312"/>
      <c r="BR143" s="312"/>
      <c r="BS143" s="312"/>
      <c r="BT143" s="312"/>
      <c r="BU143" s="312"/>
      <c r="BV143" s="312"/>
      <c r="BW143" s="312"/>
      <c r="BX143" s="312"/>
      <c r="BY143" s="312"/>
      <c r="BZ143" s="312"/>
      <c r="CA143" s="312"/>
      <c r="CB143" s="312"/>
      <c r="CC143" s="312"/>
      <c r="CD143" s="312"/>
      <c r="CE143" s="312"/>
      <c r="CF143" s="312"/>
      <c r="CG143" s="312"/>
      <c r="CH143" s="312"/>
      <c r="CI143" s="312"/>
      <c r="CJ143" s="312"/>
      <c r="CK143" s="312"/>
      <c r="CL143" s="312"/>
      <c r="CM143" s="312"/>
      <c r="CN143" s="312"/>
      <c r="CO143" s="312"/>
      <c r="CP143" s="312"/>
      <c r="CQ143" s="312"/>
      <c r="CR143" s="312"/>
    </row>
    <row r="144" spans="1:96" s="300" customFormat="1" ht="15.75" customHeight="1">
      <c r="A144" s="313"/>
      <c r="B144" s="305" t="s">
        <v>670</v>
      </c>
      <c r="C144" s="311"/>
      <c r="D144" s="311"/>
      <c r="E144" s="306">
        <f t="shared" si="21"/>
        <v>0</v>
      </c>
      <c r="F144" s="310"/>
      <c r="G144" s="311"/>
      <c r="H144" s="306">
        <f t="shared" si="20"/>
        <v>0</v>
      </c>
      <c r="I144" s="310"/>
      <c r="J144" s="311"/>
      <c r="K144" s="306">
        <f t="shared" si="22"/>
        <v>0</v>
      </c>
      <c r="L144" s="310"/>
      <c r="M144" s="311"/>
      <c r="N144" s="306">
        <f t="shared" si="23"/>
        <v>0</v>
      </c>
      <c r="O144" s="310"/>
      <c r="P144" s="311"/>
      <c r="Q144" s="306"/>
      <c r="R144" s="310"/>
      <c r="S144" s="311"/>
      <c r="T144" s="306"/>
      <c r="U144" s="310"/>
      <c r="V144" s="311"/>
      <c r="W144" s="306"/>
      <c r="X144" s="310"/>
      <c r="Y144" s="311"/>
      <c r="Z144" s="306"/>
      <c r="AA144" s="310"/>
      <c r="AB144" s="311"/>
      <c r="AC144" s="306"/>
      <c r="AD144" s="310"/>
      <c r="AE144" s="311"/>
      <c r="AF144" s="306"/>
      <c r="AG144" s="310"/>
      <c r="AH144" s="311"/>
      <c r="AI144" s="306"/>
      <c r="AJ144" s="310"/>
      <c r="AK144" s="311"/>
      <c r="AL144" s="306"/>
      <c r="AM144" s="310"/>
      <c r="AN144" s="311"/>
      <c r="AO144" s="306"/>
      <c r="AP144" s="310"/>
      <c r="AQ144" s="311"/>
      <c r="AR144" s="306"/>
      <c r="AS144" s="310"/>
      <c r="AT144" s="311"/>
      <c r="AU144" s="306"/>
      <c r="AV144" s="310"/>
      <c r="AW144" s="311"/>
      <c r="AX144" s="306"/>
      <c r="AY144" s="310"/>
      <c r="AZ144" s="311"/>
      <c r="BA144" s="306"/>
      <c r="BB144" s="310"/>
      <c r="BC144" s="311"/>
      <c r="BD144" s="306"/>
      <c r="BE144" s="312"/>
      <c r="BF144" s="312"/>
      <c r="BG144" s="312"/>
      <c r="BH144" s="312"/>
      <c r="BI144" s="312"/>
      <c r="BJ144" s="312"/>
      <c r="BK144" s="312"/>
      <c r="BL144" s="312"/>
      <c r="BM144" s="312"/>
      <c r="BN144" s="312"/>
      <c r="BO144" s="312"/>
      <c r="BP144" s="312"/>
      <c r="BQ144" s="312"/>
      <c r="BR144" s="312"/>
      <c r="BS144" s="312"/>
      <c r="BT144" s="312"/>
      <c r="BU144" s="312"/>
      <c r="BV144" s="312"/>
      <c r="BW144" s="312"/>
      <c r="BX144" s="312"/>
      <c r="BY144" s="312"/>
      <c r="BZ144" s="312"/>
      <c r="CA144" s="312"/>
      <c r="CB144" s="312"/>
      <c r="CC144" s="312"/>
      <c r="CD144" s="312"/>
      <c r="CE144" s="312"/>
      <c r="CF144" s="312"/>
      <c r="CG144" s="312"/>
      <c r="CH144" s="312"/>
      <c r="CI144" s="312"/>
      <c r="CJ144" s="312"/>
      <c r="CK144" s="312"/>
      <c r="CL144" s="312"/>
      <c r="CM144" s="312"/>
      <c r="CN144" s="312"/>
      <c r="CO144" s="312"/>
      <c r="CP144" s="312"/>
      <c r="CQ144" s="312"/>
      <c r="CR144" s="312"/>
    </row>
    <row r="145" spans="1:96" s="300" customFormat="1" ht="15.75" customHeight="1">
      <c r="A145" s="313"/>
      <c r="B145" s="305" t="s">
        <v>1041</v>
      </c>
      <c r="C145" s="311">
        <v>3535.5</v>
      </c>
      <c r="D145" s="311">
        <v>3836.5</v>
      </c>
      <c r="E145" s="306">
        <f t="shared" si="21"/>
        <v>8.513647291755056</v>
      </c>
      <c r="F145" s="310">
        <v>8040.5</v>
      </c>
      <c r="G145" s="311">
        <v>8545.5</v>
      </c>
      <c r="H145" s="306">
        <f t="shared" si="20"/>
        <v>6.280703936322368</v>
      </c>
      <c r="I145" s="310">
        <v>3557</v>
      </c>
      <c r="J145" s="311">
        <v>3887</v>
      </c>
      <c r="K145" s="306">
        <f t="shared" si="22"/>
        <v>9.277481023334271</v>
      </c>
      <c r="L145" s="310">
        <v>8086</v>
      </c>
      <c r="M145" s="311">
        <v>8756</v>
      </c>
      <c r="N145" s="306">
        <f t="shared" si="23"/>
        <v>8.28592629235716</v>
      </c>
      <c r="O145" s="310"/>
      <c r="P145" s="311"/>
      <c r="Q145" s="306"/>
      <c r="R145" s="310"/>
      <c r="S145" s="311"/>
      <c r="T145" s="306"/>
      <c r="U145" s="310"/>
      <c r="V145" s="311"/>
      <c r="W145" s="306"/>
      <c r="X145" s="310"/>
      <c r="Y145" s="311"/>
      <c r="Z145" s="306"/>
      <c r="AA145" s="310"/>
      <c r="AB145" s="311"/>
      <c r="AC145" s="306"/>
      <c r="AD145" s="310"/>
      <c r="AE145" s="311"/>
      <c r="AF145" s="306"/>
      <c r="AG145" s="310"/>
      <c r="AH145" s="311"/>
      <c r="AI145" s="306"/>
      <c r="AJ145" s="310"/>
      <c r="AK145" s="311"/>
      <c r="AL145" s="306"/>
      <c r="AM145" s="310"/>
      <c r="AN145" s="311"/>
      <c r="AO145" s="306"/>
      <c r="AP145" s="310"/>
      <c r="AQ145" s="311"/>
      <c r="AR145" s="306"/>
      <c r="AS145" s="310"/>
      <c r="AT145" s="311"/>
      <c r="AU145" s="306"/>
      <c r="AV145" s="310"/>
      <c r="AW145" s="311"/>
      <c r="AX145" s="306"/>
      <c r="AY145" s="310"/>
      <c r="AZ145" s="311"/>
      <c r="BA145" s="306"/>
      <c r="BB145" s="310"/>
      <c r="BC145" s="311"/>
      <c r="BD145" s="306"/>
      <c r="BE145" s="312"/>
      <c r="BF145" s="312"/>
      <c r="BG145" s="312"/>
      <c r="BH145" s="312"/>
      <c r="BI145" s="312"/>
      <c r="BJ145" s="312"/>
      <c r="BK145" s="312"/>
      <c r="BL145" s="312"/>
      <c r="BM145" s="312"/>
      <c r="BN145" s="312"/>
      <c r="BO145" s="312"/>
      <c r="BP145" s="312"/>
      <c r="BQ145" s="312"/>
      <c r="BR145" s="312"/>
      <c r="BS145" s="312"/>
      <c r="BT145" s="312"/>
      <c r="BU145" s="312"/>
      <c r="BV145" s="312"/>
      <c r="BW145" s="312"/>
      <c r="BX145" s="312"/>
      <c r="BY145" s="312"/>
      <c r="BZ145" s="312"/>
      <c r="CA145" s="312"/>
      <c r="CB145" s="312"/>
      <c r="CC145" s="312"/>
      <c r="CD145" s="312"/>
      <c r="CE145" s="312"/>
      <c r="CF145" s="312"/>
      <c r="CG145" s="312"/>
      <c r="CH145" s="312"/>
      <c r="CI145" s="312"/>
      <c r="CJ145" s="312"/>
      <c r="CK145" s="312"/>
      <c r="CL145" s="312"/>
      <c r="CM145" s="312"/>
      <c r="CN145" s="312"/>
      <c r="CO145" s="312"/>
      <c r="CP145" s="312"/>
      <c r="CQ145" s="312"/>
      <c r="CR145" s="312"/>
    </row>
    <row r="146" spans="1:96" s="300" customFormat="1" ht="15.75" customHeight="1">
      <c r="A146" s="313"/>
      <c r="B146" s="305" t="s">
        <v>671</v>
      </c>
      <c r="C146" s="311"/>
      <c r="D146" s="311"/>
      <c r="E146" s="306">
        <f t="shared" si="21"/>
        <v>0</v>
      </c>
      <c r="F146" s="310"/>
      <c r="G146" s="311"/>
      <c r="H146" s="306">
        <f t="shared" si="20"/>
        <v>0</v>
      </c>
      <c r="I146" s="310"/>
      <c r="J146" s="311"/>
      <c r="K146" s="306"/>
      <c r="L146" s="310"/>
      <c r="M146" s="311"/>
      <c r="N146" s="306"/>
      <c r="O146" s="310"/>
      <c r="P146" s="311"/>
      <c r="Q146" s="306"/>
      <c r="R146" s="310"/>
      <c r="S146" s="311"/>
      <c r="T146" s="306"/>
      <c r="U146" s="310"/>
      <c r="V146" s="311"/>
      <c r="W146" s="306"/>
      <c r="X146" s="310"/>
      <c r="Y146" s="311"/>
      <c r="Z146" s="306"/>
      <c r="AA146" s="310"/>
      <c r="AB146" s="311"/>
      <c r="AC146" s="306"/>
      <c r="AD146" s="310"/>
      <c r="AE146" s="311"/>
      <c r="AF146" s="306"/>
      <c r="AG146" s="310"/>
      <c r="AH146" s="311"/>
      <c r="AI146" s="306"/>
      <c r="AJ146" s="310"/>
      <c r="AK146" s="311"/>
      <c r="AL146" s="306"/>
      <c r="AM146" s="310"/>
      <c r="AN146" s="311"/>
      <c r="AO146" s="306"/>
      <c r="AP146" s="310"/>
      <c r="AQ146" s="311"/>
      <c r="AR146" s="306"/>
      <c r="AS146" s="310"/>
      <c r="AT146" s="311"/>
      <c r="AU146" s="306"/>
      <c r="AV146" s="310"/>
      <c r="AW146" s="311"/>
      <c r="AX146" s="306"/>
      <c r="AY146" s="310"/>
      <c r="AZ146" s="311"/>
      <c r="BA146" s="306"/>
      <c r="BB146" s="310"/>
      <c r="BC146" s="311"/>
      <c r="BD146" s="306"/>
      <c r="BE146" s="312"/>
      <c r="BF146" s="312"/>
      <c r="BG146" s="312"/>
      <c r="BH146" s="312"/>
      <c r="BI146" s="312"/>
      <c r="BJ146" s="312"/>
      <c r="BK146" s="312"/>
      <c r="BL146" s="312"/>
      <c r="BM146" s="312"/>
      <c r="BN146" s="312"/>
      <c r="BO146" s="312"/>
      <c r="BP146" s="312"/>
      <c r="BQ146" s="312"/>
      <c r="BR146" s="312"/>
      <c r="BS146" s="312"/>
      <c r="BT146" s="312"/>
      <c r="BU146" s="312"/>
      <c r="BV146" s="312"/>
      <c r="BW146" s="312"/>
      <c r="BX146" s="312"/>
      <c r="BY146" s="312"/>
      <c r="BZ146" s="312"/>
      <c r="CA146" s="312"/>
      <c r="CB146" s="312"/>
      <c r="CC146" s="312"/>
      <c r="CD146" s="312"/>
      <c r="CE146" s="312"/>
      <c r="CF146" s="312"/>
      <c r="CG146" s="312"/>
      <c r="CH146" s="312"/>
      <c r="CI146" s="312"/>
      <c r="CJ146" s="312"/>
      <c r="CK146" s="312"/>
      <c r="CL146" s="312"/>
      <c r="CM146" s="312"/>
      <c r="CN146" s="312"/>
      <c r="CO146" s="312"/>
      <c r="CP146" s="312"/>
      <c r="CQ146" s="312"/>
      <c r="CR146" s="312"/>
    </row>
    <row r="147" spans="1:96" s="300" customFormat="1" ht="15.75" customHeight="1">
      <c r="A147" s="313"/>
      <c r="B147" s="305" t="s">
        <v>672</v>
      </c>
      <c r="C147" s="311">
        <v>1471</v>
      </c>
      <c r="D147" s="311">
        <v>1671</v>
      </c>
      <c r="E147" s="306">
        <f t="shared" si="21"/>
        <v>13.596193065941536</v>
      </c>
      <c r="F147" s="310">
        <v>3497</v>
      </c>
      <c r="G147" s="311">
        <v>3697</v>
      </c>
      <c r="H147" s="306">
        <f t="shared" si="20"/>
        <v>5.719187875321705</v>
      </c>
      <c r="I147" s="310"/>
      <c r="J147" s="311"/>
      <c r="K147" s="306"/>
      <c r="L147" s="310"/>
      <c r="M147" s="311"/>
      <c r="N147" s="306"/>
      <c r="O147" s="310"/>
      <c r="P147" s="311"/>
      <c r="Q147" s="306"/>
      <c r="R147" s="310"/>
      <c r="S147" s="311"/>
      <c r="T147" s="306"/>
      <c r="U147" s="310"/>
      <c r="V147" s="311"/>
      <c r="W147" s="306"/>
      <c r="X147" s="310"/>
      <c r="Y147" s="311"/>
      <c r="Z147" s="306"/>
      <c r="AA147" s="310"/>
      <c r="AB147" s="311"/>
      <c r="AC147" s="306"/>
      <c r="AD147" s="310"/>
      <c r="AE147" s="311"/>
      <c r="AF147" s="306"/>
      <c r="AG147" s="310"/>
      <c r="AH147" s="311"/>
      <c r="AI147" s="306"/>
      <c r="AJ147" s="310"/>
      <c r="AK147" s="311"/>
      <c r="AL147" s="306"/>
      <c r="AM147" s="310"/>
      <c r="AN147" s="311"/>
      <c r="AO147" s="306"/>
      <c r="AP147" s="310"/>
      <c r="AQ147" s="311"/>
      <c r="AR147" s="306"/>
      <c r="AS147" s="310"/>
      <c r="AT147" s="311"/>
      <c r="AU147" s="306"/>
      <c r="AV147" s="310"/>
      <c r="AW147" s="311"/>
      <c r="AX147" s="306"/>
      <c r="AY147" s="310"/>
      <c r="AZ147" s="311"/>
      <c r="BA147" s="306"/>
      <c r="BB147" s="310"/>
      <c r="BC147" s="311"/>
      <c r="BD147" s="306"/>
      <c r="BE147" s="312"/>
      <c r="BF147" s="312"/>
      <c r="BG147" s="312"/>
      <c r="BH147" s="312"/>
      <c r="BI147" s="312"/>
      <c r="BJ147" s="312"/>
      <c r="BK147" s="312"/>
      <c r="BL147" s="312"/>
      <c r="BM147" s="312"/>
      <c r="BN147" s="312"/>
      <c r="BO147" s="312"/>
      <c r="BP147" s="312"/>
      <c r="BQ147" s="312"/>
      <c r="BR147" s="312"/>
      <c r="BS147" s="312"/>
      <c r="BT147" s="312"/>
      <c r="BU147" s="312"/>
      <c r="BV147" s="312"/>
      <c r="BW147" s="312"/>
      <c r="BX147" s="312"/>
      <c r="BY147" s="312"/>
      <c r="BZ147" s="312"/>
      <c r="CA147" s="312"/>
      <c r="CB147" s="312"/>
      <c r="CC147" s="312"/>
      <c r="CD147" s="312"/>
      <c r="CE147" s="312"/>
      <c r="CF147" s="312"/>
      <c r="CG147" s="312"/>
      <c r="CH147" s="312"/>
      <c r="CI147" s="312"/>
      <c r="CJ147" s="312"/>
      <c r="CK147" s="312"/>
      <c r="CL147" s="312"/>
      <c r="CM147" s="312"/>
      <c r="CN147" s="312"/>
      <c r="CO147" s="312"/>
      <c r="CP147" s="312"/>
      <c r="CQ147" s="312"/>
      <c r="CR147" s="312"/>
    </row>
    <row r="148" spans="1:96" s="300" customFormat="1" ht="15.75" customHeight="1">
      <c r="A148" s="313"/>
      <c r="B148" s="305" t="s">
        <v>673</v>
      </c>
      <c r="C148" s="311">
        <v>1424</v>
      </c>
      <c r="D148" s="311">
        <v>1560</v>
      </c>
      <c r="E148" s="306">
        <f t="shared" si="21"/>
        <v>9.550561797752808</v>
      </c>
      <c r="F148" s="310">
        <v>3158</v>
      </c>
      <c r="G148" s="311">
        <v>3300</v>
      </c>
      <c r="H148" s="306">
        <f t="shared" si="20"/>
        <v>4.496516782773908</v>
      </c>
      <c r="I148" s="310"/>
      <c r="J148" s="311"/>
      <c r="K148" s="306"/>
      <c r="L148" s="310"/>
      <c r="M148" s="311"/>
      <c r="N148" s="306"/>
      <c r="O148" s="310"/>
      <c r="P148" s="311"/>
      <c r="Q148" s="306"/>
      <c r="R148" s="310"/>
      <c r="S148" s="311"/>
      <c r="T148" s="306"/>
      <c r="U148" s="310"/>
      <c r="V148" s="311"/>
      <c r="W148" s="306"/>
      <c r="X148" s="310"/>
      <c r="Y148" s="311"/>
      <c r="Z148" s="306"/>
      <c r="AA148" s="310"/>
      <c r="AB148" s="311"/>
      <c r="AC148" s="306"/>
      <c r="AD148" s="310"/>
      <c r="AE148" s="311"/>
      <c r="AF148" s="306"/>
      <c r="AG148" s="310"/>
      <c r="AH148" s="311"/>
      <c r="AI148" s="306"/>
      <c r="AJ148" s="310"/>
      <c r="AK148" s="311"/>
      <c r="AL148" s="306"/>
      <c r="AM148" s="310"/>
      <c r="AN148" s="311"/>
      <c r="AO148" s="306"/>
      <c r="AP148" s="310"/>
      <c r="AQ148" s="311"/>
      <c r="AR148" s="306"/>
      <c r="AS148" s="310"/>
      <c r="AT148" s="311"/>
      <c r="AU148" s="306"/>
      <c r="AV148" s="310"/>
      <c r="AW148" s="311"/>
      <c r="AX148" s="306"/>
      <c r="AY148" s="310"/>
      <c r="AZ148" s="311"/>
      <c r="BA148" s="306"/>
      <c r="BB148" s="310"/>
      <c r="BC148" s="311"/>
      <c r="BD148" s="306"/>
      <c r="BE148" s="312"/>
      <c r="BF148" s="312"/>
      <c r="BG148" s="312"/>
      <c r="BH148" s="312"/>
      <c r="BI148" s="312"/>
      <c r="BJ148" s="312"/>
      <c r="BK148" s="312"/>
      <c r="BL148" s="312"/>
      <c r="BM148" s="312"/>
      <c r="BN148" s="312"/>
      <c r="BO148" s="312"/>
      <c r="BP148" s="312"/>
      <c r="BQ148" s="312"/>
      <c r="BR148" s="312"/>
      <c r="BS148" s="312"/>
      <c r="BT148" s="312"/>
      <c r="BU148" s="312"/>
      <c r="BV148" s="312"/>
      <c r="BW148" s="312"/>
      <c r="BX148" s="312"/>
      <c r="BY148" s="312"/>
      <c r="BZ148" s="312"/>
      <c r="CA148" s="312"/>
      <c r="CB148" s="312"/>
      <c r="CC148" s="312"/>
      <c r="CD148" s="312"/>
      <c r="CE148" s="312"/>
      <c r="CF148" s="312"/>
      <c r="CG148" s="312"/>
      <c r="CH148" s="312"/>
      <c r="CI148" s="312"/>
      <c r="CJ148" s="312"/>
      <c r="CK148" s="312"/>
      <c r="CL148" s="312"/>
      <c r="CM148" s="312"/>
      <c r="CN148" s="312"/>
      <c r="CO148" s="312"/>
      <c r="CP148" s="312"/>
      <c r="CQ148" s="312"/>
      <c r="CR148" s="312"/>
    </row>
    <row r="149" spans="1:96" s="300" customFormat="1" ht="15.75" customHeight="1">
      <c r="A149" s="313"/>
      <c r="B149" s="305" t="s">
        <v>76</v>
      </c>
      <c r="C149" s="311">
        <v>1475</v>
      </c>
      <c r="D149" s="311">
        <v>1650</v>
      </c>
      <c r="E149" s="306">
        <f t="shared" si="21"/>
        <v>11.864406779661017</v>
      </c>
      <c r="F149" s="310">
        <v>4025</v>
      </c>
      <c r="G149" s="311">
        <v>4200</v>
      </c>
      <c r="H149" s="306">
        <f t="shared" si="20"/>
        <v>4.3478260869565215</v>
      </c>
      <c r="I149" s="310"/>
      <c r="J149" s="311"/>
      <c r="K149" s="306"/>
      <c r="L149" s="310"/>
      <c r="M149" s="311"/>
      <c r="N149" s="306"/>
      <c r="O149" s="310"/>
      <c r="P149" s="311"/>
      <c r="Q149" s="306"/>
      <c r="R149" s="310"/>
      <c r="S149" s="311"/>
      <c r="T149" s="306"/>
      <c r="U149" s="310"/>
      <c r="V149" s="311"/>
      <c r="W149" s="306"/>
      <c r="X149" s="310"/>
      <c r="Y149" s="311"/>
      <c r="Z149" s="306"/>
      <c r="AA149" s="310"/>
      <c r="AB149" s="311"/>
      <c r="AC149" s="306"/>
      <c r="AD149" s="310"/>
      <c r="AE149" s="311"/>
      <c r="AF149" s="306"/>
      <c r="AG149" s="310"/>
      <c r="AH149" s="311"/>
      <c r="AI149" s="306"/>
      <c r="AJ149" s="310"/>
      <c r="AK149" s="311"/>
      <c r="AL149" s="306"/>
      <c r="AM149" s="310"/>
      <c r="AN149" s="311"/>
      <c r="AO149" s="306"/>
      <c r="AP149" s="310"/>
      <c r="AQ149" s="311"/>
      <c r="AR149" s="306"/>
      <c r="AS149" s="310"/>
      <c r="AT149" s="311"/>
      <c r="AU149" s="306"/>
      <c r="AV149" s="310"/>
      <c r="AW149" s="311"/>
      <c r="AX149" s="306"/>
      <c r="AY149" s="310"/>
      <c r="AZ149" s="311"/>
      <c r="BA149" s="306"/>
      <c r="BB149" s="310"/>
      <c r="BC149" s="311"/>
      <c r="BD149" s="306"/>
      <c r="BE149" s="312"/>
      <c r="BF149" s="312"/>
      <c r="BG149" s="312"/>
      <c r="BH149" s="312"/>
      <c r="BI149" s="312"/>
      <c r="BJ149" s="312"/>
      <c r="BK149" s="312"/>
      <c r="BL149" s="312"/>
      <c r="BM149" s="312"/>
      <c r="BN149" s="312"/>
      <c r="BO149" s="312"/>
      <c r="BP149" s="312"/>
      <c r="BQ149" s="312"/>
      <c r="BR149" s="312"/>
      <c r="BS149" s="312"/>
      <c r="BT149" s="312"/>
      <c r="BU149" s="312"/>
      <c r="BV149" s="312"/>
      <c r="BW149" s="312"/>
      <c r="BX149" s="312"/>
      <c r="BY149" s="312"/>
      <c r="BZ149" s="312"/>
      <c r="CA149" s="312"/>
      <c r="CB149" s="312"/>
      <c r="CC149" s="312"/>
      <c r="CD149" s="312"/>
      <c r="CE149" s="312"/>
      <c r="CF149" s="312"/>
      <c r="CG149" s="312"/>
      <c r="CH149" s="312"/>
      <c r="CI149" s="312"/>
      <c r="CJ149" s="312"/>
      <c r="CK149" s="312"/>
      <c r="CL149" s="312"/>
      <c r="CM149" s="312"/>
      <c r="CN149" s="312"/>
      <c r="CO149" s="312"/>
      <c r="CP149" s="312"/>
      <c r="CQ149" s="312"/>
      <c r="CR149" s="312"/>
    </row>
    <row r="150" spans="1:96" s="300" customFormat="1" ht="15.75" customHeight="1">
      <c r="A150" s="313"/>
      <c r="B150" s="305" t="s">
        <v>473</v>
      </c>
      <c r="C150" s="311">
        <v>1424</v>
      </c>
      <c r="D150" s="311">
        <v>1600</v>
      </c>
      <c r="E150" s="306">
        <f t="shared" si="21"/>
        <v>12.359550561797752</v>
      </c>
      <c r="F150" s="310">
        <v>3248</v>
      </c>
      <c r="G150" s="311">
        <v>3448</v>
      </c>
      <c r="H150" s="306">
        <f t="shared" si="20"/>
        <v>6.157635467980295</v>
      </c>
      <c r="I150" s="310"/>
      <c r="J150" s="311"/>
      <c r="K150" s="306"/>
      <c r="L150" s="310"/>
      <c r="M150" s="311"/>
      <c r="N150" s="306"/>
      <c r="O150" s="310"/>
      <c r="P150" s="311"/>
      <c r="Q150" s="306"/>
      <c r="R150" s="310"/>
      <c r="S150" s="311"/>
      <c r="T150" s="306"/>
      <c r="U150" s="310"/>
      <c r="V150" s="311"/>
      <c r="W150" s="306"/>
      <c r="X150" s="310"/>
      <c r="Y150" s="311"/>
      <c r="Z150" s="306"/>
      <c r="AA150" s="310"/>
      <c r="AB150" s="311"/>
      <c r="AC150" s="306"/>
      <c r="AD150" s="310"/>
      <c r="AE150" s="311"/>
      <c r="AF150" s="306"/>
      <c r="AG150" s="310"/>
      <c r="AH150" s="311"/>
      <c r="AI150" s="306"/>
      <c r="AJ150" s="310"/>
      <c r="AK150" s="311"/>
      <c r="AL150" s="306"/>
      <c r="AM150" s="310"/>
      <c r="AN150" s="311"/>
      <c r="AO150" s="306"/>
      <c r="AP150" s="310"/>
      <c r="AQ150" s="311"/>
      <c r="AR150" s="306"/>
      <c r="AS150" s="310"/>
      <c r="AT150" s="311"/>
      <c r="AU150" s="306"/>
      <c r="AV150" s="310"/>
      <c r="AW150" s="311"/>
      <c r="AX150" s="306"/>
      <c r="AY150" s="310"/>
      <c r="AZ150" s="311"/>
      <c r="BA150" s="306"/>
      <c r="BB150" s="310"/>
      <c r="BC150" s="311"/>
      <c r="BD150" s="306"/>
      <c r="BE150" s="312"/>
      <c r="BF150" s="312"/>
      <c r="BG150" s="312"/>
      <c r="BH150" s="312"/>
      <c r="BI150" s="312"/>
      <c r="BJ150" s="312"/>
      <c r="BK150" s="312"/>
      <c r="BL150" s="312"/>
      <c r="BM150" s="312"/>
      <c r="BN150" s="312"/>
      <c r="BO150" s="312"/>
      <c r="BP150" s="312"/>
      <c r="BQ150" s="312"/>
      <c r="BR150" s="312"/>
      <c r="BS150" s="312"/>
      <c r="BT150" s="312"/>
      <c r="BU150" s="312"/>
      <c r="BV150" s="312"/>
      <c r="BW150" s="312"/>
      <c r="BX150" s="312"/>
      <c r="BY150" s="312"/>
      <c r="BZ150" s="312"/>
      <c r="CA150" s="312"/>
      <c r="CB150" s="312"/>
      <c r="CC150" s="312"/>
      <c r="CD150" s="312"/>
      <c r="CE150" s="312"/>
      <c r="CF150" s="312"/>
      <c r="CG150" s="312"/>
      <c r="CH150" s="312"/>
      <c r="CI150" s="312"/>
      <c r="CJ150" s="312"/>
      <c r="CK150" s="312"/>
      <c r="CL150" s="312"/>
      <c r="CM150" s="312"/>
      <c r="CN150" s="312"/>
      <c r="CO150" s="312"/>
      <c r="CP150" s="312"/>
      <c r="CQ150" s="312"/>
      <c r="CR150" s="312"/>
    </row>
    <row r="151" spans="1:96" s="300" customFormat="1" ht="15.75" customHeight="1">
      <c r="A151" s="313"/>
      <c r="B151" s="305" t="s">
        <v>77</v>
      </c>
      <c r="C151" s="311"/>
      <c r="D151" s="311"/>
      <c r="E151" s="306">
        <f aca="true" t="shared" si="24" ref="E151:E172">IF(C151&gt;0,(((D151-C151)/C151)*100),0)</f>
        <v>0</v>
      </c>
      <c r="F151" s="310"/>
      <c r="G151" s="311"/>
      <c r="H151" s="306">
        <f aca="true" t="shared" si="25" ref="H151:H184">IF(F151&gt;0,(((G151-F151)/F151)*100),0)</f>
        <v>0</v>
      </c>
      <c r="I151" s="310"/>
      <c r="J151" s="311"/>
      <c r="K151" s="306"/>
      <c r="L151" s="310"/>
      <c r="M151" s="311"/>
      <c r="N151" s="306"/>
      <c r="O151" s="310"/>
      <c r="P151" s="311"/>
      <c r="Q151" s="306"/>
      <c r="R151" s="310"/>
      <c r="S151" s="311"/>
      <c r="T151" s="306"/>
      <c r="U151" s="310"/>
      <c r="V151" s="311"/>
      <c r="W151" s="306"/>
      <c r="X151" s="310"/>
      <c r="Y151" s="311"/>
      <c r="Z151" s="306"/>
      <c r="AA151" s="310"/>
      <c r="AB151" s="311"/>
      <c r="AC151" s="306"/>
      <c r="AD151" s="310"/>
      <c r="AE151" s="311"/>
      <c r="AF151" s="306"/>
      <c r="AG151" s="310"/>
      <c r="AH151" s="311"/>
      <c r="AI151" s="306"/>
      <c r="AJ151" s="310"/>
      <c r="AK151" s="311"/>
      <c r="AL151" s="306"/>
      <c r="AM151" s="310"/>
      <c r="AN151" s="311"/>
      <c r="AO151" s="306"/>
      <c r="AP151" s="310"/>
      <c r="AQ151" s="311"/>
      <c r="AR151" s="306"/>
      <c r="AS151" s="310"/>
      <c r="AT151" s="311"/>
      <c r="AU151" s="306"/>
      <c r="AV151" s="310"/>
      <c r="AW151" s="311"/>
      <c r="AX151" s="306"/>
      <c r="AY151" s="310"/>
      <c r="AZ151" s="311"/>
      <c r="BA151" s="306"/>
      <c r="BB151" s="310"/>
      <c r="BC151" s="311"/>
      <c r="BD151" s="306"/>
      <c r="BE151" s="312"/>
      <c r="BF151" s="312"/>
      <c r="BG151" s="312"/>
      <c r="BH151" s="312"/>
      <c r="BI151" s="312"/>
      <c r="BJ151" s="312"/>
      <c r="BK151" s="312"/>
      <c r="BL151" s="312"/>
      <c r="BM151" s="312"/>
      <c r="BN151" s="312"/>
      <c r="BO151" s="312"/>
      <c r="BP151" s="312"/>
      <c r="BQ151" s="312"/>
      <c r="BR151" s="312"/>
      <c r="BS151" s="312"/>
      <c r="BT151" s="312"/>
      <c r="BU151" s="312"/>
      <c r="BV151" s="312"/>
      <c r="BW151" s="312"/>
      <c r="BX151" s="312"/>
      <c r="BY151" s="312"/>
      <c r="BZ151" s="312"/>
      <c r="CA151" s="312"/>
      <c r="CB151" s="312"/>
      <c r="CC151" s="312"/>
      <c r="CD151" s="312"/>
      <c r="CE151" s="312"/>
      <c r="CF151" s="312"/>
      <c r="CG151" s="312"/>
      <c r="CH151" s="312"/>
      <c r="CI151" s="312"/>
      <c r="CJ151" s="312"/>
      <c r="CK151" s="312"/>
      <c r="CL151" s="312"/>
      <c r="CM151" s="312"/>
      <c r="CN151" s="312"/>
      <c r="CO151" s="312"/>
      <c r="CP151" s="312"/>
      <c r="CQ151" s="312"/>
      <c r="CR151" s="312"/>
    </row>
    <row r="152" spans="1:96" s="300" customFormat="1" ht="15.75" customHeight="1">
      <c r="A152" s="313"/>
      <c r="B152" s="305" t="s">
        <v>63</v>
      </c>
      <c r="C152" s="311"/>
      <c r="D152" s="311"/>
      <c r="E152" s="306">
        <f t="shared" si="24"/>
        <v>0</v>
      </c>
      <c r="F152" s="310"/>
      <c r="G152" s="311"/>
      <c r="H152" s="306">
        <f t="shared" si="25"/>
        <v>0</v>
      </c>
      <c r="I152" s="310"/>
      <c r="J152" s="311"/>
      <c r="K152" s="306"/>
      <c r="L152" s="310"/>
      <c r="M152" s="311"/>
      <c r="N152" s="306"/>
      <c r="O152" s="310"/>
      <c r="P152" s="311"/>
      <c r="Q152" s="306"/>
      <c r="R152" s="310"/>
      <c r="S152" s="311"/>
      <c r="T152" s="306"/>
      <c r="U152" s="310"/>
      <c r="V152" s="311"/>
      <c r="W152" s="306"/>
      <c r="X152" s="310"/>
      <c r="Y152" s="311"/>
      <c r="Z152" s="306"/>
      <c r="AA152" s="310"/>
      <c r="AB152" s="311"/>
      <c r="AC152" s="306"/>
      <c r="AD152" s="310"/>
      <c r="AE152" s="311"/>
      <c r="AF152" s="306"/>
      <c r="AG152" s="310"/>
      <c r="AH152" s="311"/>
      <c r="AI152" s="306"/>
      <c r="AJ152" s="310"/>
      <c r="AK152" s="311"/>
      <c r="AL152" s="306"/>
      <c r="AM152" s="310"/>
      <c r="AN152" s="311"/>
      <c r="AO152" s="306"/>
      <c r="AP152" s="310"/>
      <c r="AQ152" s="311"/>
      <c r="AR152" s="306"/>
      <c r="AS152" s="310"/>
      <c r="AT152" s="311"/>
      <c r="AU152" s="306"/>
      <c r="AV152" s="310"/>
      <c r="AW152" s="311"/>
      <c r="AX152" s="306"/>
      <c r="AY152" s="310"/>
      <c r="AZ152" s="311"/>
      <c r="BA152" s="306"/>
      <c r="BB152" s="310"/>
      <c r="BC152" s="311"/>
      <c r="BD152" s="306"/>
      <c r="BE152" s="312"/>
      <c r="BF152" s="312"/>
      <c r="BG152" s="312"/>
      <c r="BH152" s="312"/>
      <c r="BI152" s="312"/>
      <c r="BJ152" s="312"/>
      <c r="BK152" s="312"/>
      <c r="BL152" s="312"/>
      <c r="BM152" s="312"/>
      <c r="BN152" s="312"/>
      <c r="BO152" s="312"/>
      <c r="BP152" s="312"/>
      <c r="BQ152" s="312"/>
      <c r="BR152" s="312"/>
      <c r="BS152" s="312"/>
      <c r="BT152" s="312"/>
      <c r="BU152" s="312"/>
      <c r="BV152" s="312"/>
      <c r="BW152" s="312"/>
      <c r="BX152" s="312"/>
      <c r="BY152" s="312"/>
      <c r="BZ152" s="312"/>
      <c r="CA152" s="312"/>
      <c r="CB152" s="312"/>
      <c r="CC152" s="312"/>
      <c r="CD152" s="312"/>
      <c r="CE152" s="312"/>
      <c r="CF152" s="312"/>
      <c r="CG152" s="312"/>
      <c r="CH152" s="312"/>
      <c r="CI152" s="312"/>
      <c r="CJ152" s="312"/>
      <c r="CK152" s="312"/>
      <c r="CL152" s="312"/>
      <c r="CM152" s="312"/>
      <c r="CN152" s="312"/>
      <c r="CO152" s="312"/>
      <c r="CP152" s="312"/>
      <c r="CQ152" s="312"/>
      <c r="CR152" s="312"/>
    </row>
    <row r="153" spans="1:96" s="300" customFormat="1" ht="15.75" customHeight="1">
      <c r="A153" s="313"/>
      <c r="B153" s="305" t="s">
        <v>64</v>
      </c>
      <c r="C153" s="311"/>
      <c r="D153" s="311"/>
      <c r="E153" s="306">
        <f t="shared" si="24"/>
        <v>0</v>
      </c>
      <c r="F153" s="310"/>
      <c r="G153" s="311"/>
      <c r="H153" s="306">
        <f t="shared" si="25"/>
        <v>0</v>
      </c>
      <c r="I153" s="310"/>
      <c r="J153" s="311"/>
      <c r="K153" s="306"/>
      <c r="L153" s="310"/>
      <c r="M153" s="311"/>
      <c r="N153" s="306"/>
      <c r="O153" s="310"/>
      <c r="P153" s="311"/>
      <c r="Q153" s="306"/>
      <c r="R153" s="310"/>
      <c r="S153" s="311"/>
      <c r="T153" s="306"/>
      <c r="U153" s="310"/>
      <c r="V153" s="311"/>
      <c r="W153" s="306"/>
      <c r="X153" s="310"/>
      <c r="Y153" s="311"/>
      <c r="Z153" s="306"/>
      <c r="AA153" s="310"/>
      <c r="AB153" s="311"/>
      <c r="AC153" s="306"/>
      <c r="AD153" s="310"/>
      <c r="AE153" s="311"/>
      <c r="AF153" s="306"/>
      <c r="AG153" s="310"/>
      <c r="AH153" s="311"/>
      <c r="AI153" s="306"/>
      <c r="AJ153" s="310"/>
      <c r="AK153" s="311"/>
      <c r="AL153" s="306"/>
      <c r="AM153" s="310"/>
      <c r="AN153" s="311"/>
      <c r="AO153" s="306"/>
      <c r="AP153" s="310"/>
      <c r="AQ153" s="311"/>
      <c r="AR153" s="306"/>
      <c r="AS153" s="310"/>
      <c r="AT153" s="311"/>
      <c r="AU153" s="306"/>
      <c r="AV153" s="310"/>
      <c r="AW153" s="311"/>
      <c r="AX153" s="306"/>
      <c r="AY153" s="310"/>
      <c r="AZ153" s="311"/>
      <c r="BA153" s="306"/>
      <c r="BB153" s="310"/>
      <c r="BC153" s="311"/>
      <c r="BD153" s="306"/>
      <c r="BE153" s="312"/>
      <c r="BF153" s="312"/>
      <c r="BG153" s="312"/>
      <c r="BH153" s="312"/>
      <c r="BI153" s="312"/>
      <c r="BJ153" s="312"/>
      <c r="BK153" s="312"/>
      <c r="BL153" s="312"/>
      <c r="BM153" s="312"/>
      <c r="BN153" s="312"/>
      <c r="BO153" s="312"/>
      <c r="BP153" s="312"/>
      <c r="BQ153" s="312"/>
      <c r="BR153" s="312"/>
      <c r="BS153" s="312"/>
      <c r="BT153" s="312"/>
      <c r="BU153" s="312"/>
      <c r="BV153" s="312"/>
      <c r="BW153" s="312"/>
      <c r="BX153" s="312"/>
      <c r="BY153" s="312"/>
      <c r="BZ153" s="312"/>
      <c r="CA153" s="312"/>
      <c r="CB153" s="312"/>
      <c r="CC153" s="312"/>
      <c r="CD153" s="312"/>
      <c r="CE153" s="312"/>
      <c r="CF153" s="312"/>
      <c r="CG153" s="312"/>
      <c r="CH153" s="312"/>
      <c r="CI153" s="312"/>
      <c r="CJ153" s="312"/>
      <c r="CK153" s="312"/>
      <c r="CL153" s="312"/>
      <c r="CM153" s="312"/>
      <c r="CN153" s="312"/>
      <c r="CO153" s="312"/>
      <c r="CP153" s="312"/>
      <c r="CQ153" s="312"/>
      <c r="CR153" s="312"/>
    </row>
    <row r="154" spans="1:96" s="300" customFormat="1" ht="15.75" customHeight="1" thickBot="1">
      <c r="A154" s="313"/>
      <c r="B154" s="305" t="s">
        <v>970</v>
      </c>
      <c r="C154" s="311"/>
      <c r="D154" s="311"/>
      <c r="E154" s="306">
        <f t="shared" si="24"/>
        <v>0</v>
      </c>
      <c r="F154" s="310"/>
      <c r="G154" s="311"/>
      <c r="H154" s="306">
        <f t="shared" si="25"/>
        <v>0</v>
      </c>
      <c r="I154" s="310"/>
      <c r="J154" s="311"/>
      <c r="K154" s="306"/>
      <c r="L154" s="310"/>
      <c r="M154" s="311"/>
      <c r="N154" s="306"/>
      <c r="O154" s="310"/>
      <c r="P154" s="311"/>
      <c r="Q154" s="306"/>
      <c r="R154" s="310"/>
      <c r="S154" s="311"/>
      <c r="T154" s="306"/>
      <c r="U154" s="310"/>
      <c r="V154" s="311"/>
      <c r="W154" s="306"/>
      <c r="X154" s="310"/>
      <c r="Y154" s="311"/>
      <c r="Z154" s="306"/>
      <c r="AA154" s="310"/>
      <c r="AB154" s="311"/>
      <c r="AC154" s="306"/>
      <c r="AD154" s="310"/>
      <c r="AE154" s="311"/>
      <c r="AF154" s="306"/>
      <c r="AG154" s="310"/>
      <c r="AH154" s="311"/>
      <c r="AI154" s="306"/>
      <c r="AJ154" s="310"/>
      <c r="AK154" s="311"/>
      <c r="AL154" s="306"/>
      <c r="AM154" s="310"/>
      <c r="AN154" s="311"/>
      <c r="AO154" s="306"/>
      <c r="AP154" s="310"/>
      <c r="AQ154" s="311"/>
      <c r="AR154" s="306"/>
      <c r="AS154" s="310"/>
      <c r="AT154" s="311"/>
      <c r="AU154" s="306"/>
      <c r="AV154" s="310"/>
      <c r="AW154" s="311"/>
      <c r="AX154" s="306"/>
      <c r="AY154" s="310"/>
      <c r="AZ154" s="311"/>
      <c r="BA154" s="306"/>
      <c r="BB154" s="310"/>
      <c r="BC154" s="311"/>
      <c r="BD154" s="306"/>
      <c r="BE154" s="312"/>
      <c r="BF154" s="312"/>
      <c r="BG154" s="312"/>
      <c r="BH154" s="312"/>
      <c r="BI154" s="312"/>
      <c r="BJ154" s="312"/>
      <c r="BK154" s="312"/>
      <c r="BL154" s="312"/>
      <c r="BM154" s="312"/>
      <c r="BN154" s="312"/>
      <c r="BO154" s="312"/>
      <c r="BP154" s="312"/>
      <c r="BQ154" s="312"/>
      <c r="BR154" s="312"/>
      <c r="BS154" s="312"/>
      <c r="BT154" s="312"/>
      <c r="BU154" s="312"/>
      <c r="BV154" s="312"/>
      <c r="BW154" s="312"/>
      <c r="BX154" s="312"/>
      <c r="BY154" s="312"/>
      <c r="BZ154" s="312"/>
      <c r="CA154" s="312"/>
      <c r="CB154" s="312"/>
      <c r="CC154" s="312"/>
      <c r="CD154" s="312"/>
      <c r="CE154" s="312"/>
      <c r="CF154" s="312"/>
      <c r="CG154" s="312"/>
      <c r="CH154" s="312"/>
      <c r="CI154" s="312"/>
      <c r="CJ154" s="312"/>
      <c r="CK154" s="312"/>
      <c r="CL154" s="312"/>
      <c r="CM154" s="312"/>
      <c r="CN154" s="312"/>
      <c r="CO154" s="312"/>
      <c r="CP154" s="312"/>
      <c r="CQ154" s="312"/>
      <c r="CR154" s="312"/>
    </row>
    <row r="155" spans="1:96" s="321" customFormat="1" ht="15.75" customHeight="1">
      <c r="A155" s="314"/>
      <c r="B155" s="315"/>
      <c r="C155" s="317"/>
      <c r="D155" s="317"/>
      <c r="E155" s="318">
        <f t="shared" si="24"/>
        <v>0</v>
      </c>
      <c r="F155" s="316"/>
      <c r="G155" s="317"/>
      <c r="H155" s="318">
        <f t="shared" si="25"/>
        <v>0</v>
      </c>
      <c r="I155" s="316"/>
      <c r="J155" s="317"/>
      <c r="K155" s="318"/>
      <c r="L155" s="316"/>
      <c r="M155" s="317"/>
      <c r="N155" s="318"/>
      <c r="O155" s="316">
        <v>6615</v>
      </c>
      <c r="P155" s="317">
        <v>11634</v>
      </c>
      <c r="Q155" s="318">
        <f>IF(O155&gt;0,(((P155-O155)/O155)*100),0)</f>
        <v>75.87301587301587</v>
      </c>
      <c r="R155" s="316">
        <v>12542</v>
      </c>
      <c r="S155" s="317">
        <v>12942</v>
      </c>
      <c r="T155" s="318">
        <f>IF(R155&gt;0,(((S155-R155)/R155)*100),0)</f>
        <v>3.1892840057407112</v>
      </c>
      <c r="U155" s="316">
        <v>6938</v>
      </c>
      <c r="V155" s="317">
        <v>7285</v>
      </c>
      <c r="W155" s="318">
        <f>IF(U155&gt;0,(((V155-U155)/U155)*100),0)</f>
        <v>5.001441337561257</v>
      </c>
      <c r="X155" s="316">
        <v>13298</v>
      </c>
      <c r="Y155" s="317">
        <v>13963</v>
      </c>
      <c r="Z155" s="318">
        <f>IF(X155&gt;0,(((Y155-X155)/X155)*100),0)</f>
        <v>5.000751992780869</v>
      </c>
      <c r="AA155" s="316">
        <v>5681</v>
      </c>
      <c r="AB155" s="317">
        <v>5965</v>
      </c>
      <c r="AC155" s="318">
        <f>IF(AA155&gt;0,(((AB155-AA155)/AA155)*100),0)</f>
        <v>4.9991198732617494</v>
      </c>
      <c r="AD155" s="316">
        <v>12041</v>
      </c>
      <c r="AE155" s="317">
        <v>12646</v>
      </c>
      <c r="AF155" s="318">
        <f>IF(AD155&gt;0,(((AE155-AD155)/AD155)*100),0)</f>
        <v>5.024499626276888</v>
      </c>
      <c r="AG155" s="336">
        <v>6315</v>
      </c>
      <c r="AH155" s="337">
        <v>7056</v>
      </c>
      <c r="AI155" s="338">
        <f>IF(AG155&gt;0,(((AH155-AG155)/AG155)*100),0)</f>
        <v>11.73396674584323</v>
      </c>
      <c r="AJ155" s="316">
        <v>12203</v>
      </c>
      <c r="AK155" s="317">
        <v>13032</v>
      </c>
      <c r="AL155" s="318">
        <f>IF(AJ155&gt;0,(((AK155-AJ155)/AJ155)*100),0)</f>
        <v>6.793411456199296</v>
      </c>
      <c r="AM155" s="316"/>
      <c r="AN155" s="317"/>
      <c r="AO155" s="318"/>
      <c r="AP155" s="316"/>
      <c r="AQ155" s="317"/>
      <c r="AR155" s="318">
        <f>IF(AP155&gt;0,(((AQ155-AP155)/AP155)*100),0)</f>
        <v>0</v>
      </c>
      <c r="AS155" s="316"/>
      <c r="AT155" s="317"/>
      <c r="AU155" s="318"/>
      <c r="AV155" s="316"/>
      <c r="AW155" s="317"/>
      <c r="AX155" s="318"/>
      <c r="AY155" s="336">
        <v>8118</v>
      </c>
      <c r="AZ155" s="337">
        <v>9230</v>
      </c>
      <c r="BA155" s="338">
        <f>IF(AY155&gt;0,(((AZ155-AY155)/AY155)*100),0)</f>
        <v>13.697955161369796</v>
      </c>
      <c r="BB155" s="336">
        <v>24273</v>
      </c>
      <c r="BC155" s="337">
        <v>27792</v>
      </c>
      <c r="BD155" s="338">
        <f>IF(BB155&gt;0,(((BC155-BB155)/BB155)*100),0)</f>
        <v>14.497589914720061</v>
      </c>
      <c r="BE155" s="320"/>
      <c r="BF155" s="320"/>
      <c r="BG155" s="320"/>
      <c r="BH155" s="320"/>
      <c r="BI155" s="320"/>
      <c r="BJ155" s="320"/>
      <c r="BK155" s="320"/>
      <c r="BL155" s="320"/>
      <c r="BM155" s="320"/>
      <c r="BN155" s="320"/>
      <c r="BO155" s="320"/>
      <c r="BP155" s="320"/>
      <c r="BQ155" s="320"/>
      <c r="BR155" s="320"/>
      <c r="BS155" s="320"/>
      <c r="BT155" s="320"/>
      <c r="BU155" s="320"/>
      <c r="BV155" s="320"/>
      <c r="BW155" s="320"/>
      <c r="BX155" s="320"/>
      <c r="BY155" s="320"/>
      <c r="BZ155" s="320"/>
      <c r="CA155" s="320"/>
      <c r="CB155" s="320"/>
      <c r="CC155" s="320"/>
      <c r="CD155" s="320"/>
      <c r="CE155" s="320"/>
      <c r="CF155" s="320"/>
      <c r="CG155" s="320"/>
      <c r="CH155" s="320"/>
      <c r="CI155" s="320"/>
      <c r="CJ155" s="320"/>
      <c r="CK155" s="320"/>
      <c r="CL155" s="320"/>
      <c r="CM155" s="320"/>
      <c r="CN155" s="320"/>
      <c r="CO155" s="320"/>
      <c r="CP155" s="320"/>
      <c r="CQ155" s="320"/>
      <c r="CR155" s="320"/>
    </row>
    <row r="156" spans="1:96" s="300" customFormat="1" ht="15.75" customHeight="1">
      <c r="A156" s="304" t="s">
        <v>961</v>
      </c>
      <c r="B156" s="305" t="s">
        <v>665</v>
      </c>
      <c r="C156" s="311">
        <v>4021</v>
      </c>
      <c r="D156" s="311">
        <v>4366.5</v>
      </c>
      <c r="E156" s="306">
        <f t="shared" si="24"/>
        <v>8.592389952748073</v>
      </c>
      <c r="F156" s="310">
        <v>15869</v>
      </c>
      <c r="G156" s="311">
        <v>16864.5</v>
      </c>
      <c r="H156" s="306">
        <f t="shared" si="25"/>
        <v>6.273237128993634</v>
      </c>
      <c r="I156" s="310">
        <v>4229</v>
      </c>
      <c r="J156" s="311">
        <v>4576</v>
      </c>
      <c r="K156" s="306">
        <f aca="true" t="shared" si="26" ref="K156:K162">IF(I156&gt;0,(((J156-I156)/I156)*100),0)</f>
        <v>8.205249467959328</v>
      </c>
      <c r="L156" s="310">
        <v>16227</v>
      </c>
      <c r="M156" s="311">
        <v>17224</v>
      </c>
      <c r="N156" s="306">
        <f aca="true" t="shared" si="27" ref="N156:N162">IF(L156&gt;0,(((M156-L156)/L156)*100),0)</f>
        <v>6.144080852899489</v>
      </c>
      <c r="O156" s="310"/>
      <c r="P156" s="311"/>
      <c r="Q156" s="306"/>
      <c r="R156" s="310"/>
      <c r="S156" s="311"/>
      <c r="T156" s="306"/>
      <c r="U156" s="310"/>
      <c r="V156" s="311"/>
      <c r="W156" s="306"/>
      <c r="X156" s="310"/>
      <c r="Y156" s="311"/>
      <c r="Z156" s="306"/>
      <c r="AA156" s="310"/>
      <c r="AB156" s="311"/>
      <c r="AC156" s="306"/>
      <c r="AD156" s="310"/>
      <c r="AE156" s="311"/>
      <c r="AF156" s="306"/>
      <c r="AG156" s="310"/>
      <c r="AH156" s="311"/>
      <c r="AI156" s="306"/>
      <c r="AJ156" s="310"/>
      <c r="AK156" s="311"/>
      <c r="AL156" s="306"/>
      <c r="AM156" s="310"/>
      <c r="AN156" s="311"/>
      <c r="AO156" s="306"/>
      <c r="AP156" s="310"/>
      <c r="AQ156" s="311"/>
      <c r="AR156" s="306"/>
      <c r="AS156" s="310"/>
      <c r="AT156" s="311"/>
      <c r="AU156" s="306"/>
      <c r="AV156" s="310"/>
      <c r="AW156" s="311"/>
      <c r="AX156" s="306"/>
      <c r="AY156" s="310"/>
      <c r="AZ156" s="311"/>
      <c r="BA156" s="306"/>
      <c r="BB156" s="310"/>
      <c r="BC156" s="311"/>
      <c r="BD156" s="306"/>
      <c r="BE156" s="312"/>
      <c r="BF156" s="312"/>
      <c r="BG156" s="312"/>
      <c r="BH156" s="312"/>
      <c r="BI156" s="312"/>
      <c r="BJ156" s="312"/>
      <c r="BK156" s="312"/>
      <c r="BL156" s="312"/>
      <c r="BM156" s="312"/>
      <c r="BN156" s="312"/>
      <c r="BO156" s="312"/>
      <c r="BP156" s="312"/>
      <c r="BQ156" s="312"/>
      <c r="BR156" s="312"/>
      <c r="BS156" s="312"/>
      <c r="BT156" s="312"/>
      <c r="BU156" s="312"/>
      <c r="BV156" s="312"/>
      <c r="BW156" s="312"/>
      <c r="BX156" s="312"/>
      <c r="BY156" s="312"/>
      <c r="BZ156" s="312"/>
      <c r="CA156" s="312"/>
      <c r="CB156" s="312"/>
      <c r="CC156" s="312"/>
      <c r="CD156" s="312"/>
      <c r="CE156" s="312"/>
      <c r="CF156" s="312"/>
      <c r="CG156" s="312"/>
      <c r="CH156" s="312"/>
      <c r="CI156" s="312"/>
      <c r="CJ156" s="312"/>
      <c r="CK156" s="312"/>
      <c r="CL156" s="312"/>
      <c r="CM156" s="312"/>
      <c r="CN156" s="312"/>
      <c r="CO156" s="312"/>
      <c r="CP156" s="312"/>
      <c r="CQ156" s="312"/>
      <c r="CR156" s="312"/>
    </row>
    <row r="157" spans="1:96" s="300" customFormat="1" ht="15.75" customHeight="1">
      <c r="A157" s="313"/>
      <c r="B157" s="305" t="s">
        <v>666</v>
      </c>
      <c r="C157" s="311">
        <v>3124</v>
      </c>
      <c r="D157" s="311">
        <v>3435</v>
      </c>
      <c r="E157" s="306">
        <f t="shared" si="24"/>
        <v>9.955185659411011</v>
      </c>
      <c r="F157" s="310">
        <v>14017</v>
      </c>
      <c r="G157" s="311">
        <v>14403</v>
      </c>
      <c r="H157" s="306">
        <f t="shared" si="25"/>
        <v>2.7537989584076477</v>
      </c>
      <c r="I157" s="310">
        <v>3208</v>
      </c>
      <c r="J157" s="311">
        <v>3519</v>
      </c>
      <c r="K157" s="306">
        <f t="shared" si="26"/>
        <v>9.694513715710723</v>
      </c>
      <c r="L157" s="310">
        <v>14183</v>
      </c>
      <c r="M157" s="311">
        <v>14569</v>
      </c>
      <c r="N157" s="306">
        <f t="shared" si="27"/>
        <v>2.721568074455334</v>
      </c>
      <c r="O157" s="310"/>
      <c r="P157" s="311"/>
      <c r="Q157" s="306"/>
      <c r="R157" s="310"/>
      <c r="S157" s="311"/>
      <c r="T157" s="306"/>
      <c r="U157" s="310"/>
      <c r="V157" s="311"/>
      <c r="W157" s="306"/>
      <c r="X157" s="310"/>
      <c r="Y157" s="311"/>
      <c r="Z157" s="306"/>
      <c r="AA157" s="310"/>
      <c r="AB157" s="311"/>
      <c r="AC157" s="306"/>
      <c r="AD157" s="310"/>
      <c r="AE157" s="311"/>
      <c r="AF157" s="306"/>
      <c r="AG157" s="310"/>
      <c r="AH157" s="311"/>
      <c r="AI157" s="306"/>
      <c r="AJ157" s="310"/>
      <c r="AK157" s="311"/>
      <c r="AL157" s="306"/>
      <c r="AM157" s="310"/>
      <c r="AN157" s="311"/>
      <c r="AO157" s="306"/>
      <c r="AP157" s="310"/>
      <c r="AQ157" s="311"/>
      <c r="AR157" s="306"/>
      <c r="AS157" s="310"/>
      <c r="AT157" s="311"/>
      <c r="AU157" s="306"/>
      <c r="AV157" s="310"/>
      <c r="AW157" s="311"/>
      <c r="AX157" s="306"/>
      <c r="AY157" s="310"/>
      <c r="AZ157" s="311"/>
      <c r="BA157" s="306"/>
      <c r="BB157" s="310"/>
      <c r="BC157" s="311"/>
      <c r="BD157" s="306"/>
      <c r="BE157" s="312"/>
      <c r="BF157" s="312"/>
      <c r="BG157" s="312"/>
      <c r="BH157" s="312"/>
      <c r="BI157" s="312"/>
      <c r="BJ157" s="312"/>
      <c r="BK157" s="312"/>
      <c r="BL157" s="312"/>
      <c r="BM157" s="312"/>
      <c r="BN157" s="312"/>
      <c r="BO157" s="312"/>
      <c r="BP157" s="312"/>
      <c r="BQ157" s="312"/>
      <c r="BR157" s="312"/>
      <c r="BS157" s="312"/>
      <c r="BT157" s="312"/>
      <c r="BU157" s="312"/>
      <c r="BV157" s="312"/>
      <c r="BW157" s="312"/>
      <c r="BX157" s="312"/>
      <c r="BY157" s="312"/>
      <c r="BZ157" s="312"/>
      <c r="CA157" s="312"/>
      <c r="CB157" s="312"/>
      <c r="CC157" s="312"/>
      <c r="CD157" s="312"/>
      <c r="CE157" s="312"/>
      <c r="CF157" s="312"/>
      <c r="CG157" s="312"/>
      <c r="CH157" s="312"/>
      <c r="CI157" s="312"/>
      <c r="CJ157" s="312"/>
      <c r="CK157" s="312"/>
      <c r="CL157" s="312"/>
      <c r="CM157" s="312"/>
      <c r="CN157" s="312"/>
      <c r="CO157" s="312"/>
      <c r="CP157" s="312"/>
      <c r="CQ157" s="312"/>
      <c r="CR157" s="312"/>
    </row>
    <row r="158" spans="1:96" s="300" customFormat="1" ht="15.75" customHeight="1">
      <c r="A158" s="313"/>
      <c r="B158" s="305" t="s">
        <v>667</v>
      </c>
      <c r="C158" s="311">
        <v>2927</v>
      </c>
      <c r="D158" s="311">
        <v>3273</v>
      </c>
      <c r="E158" s="306">
        <f t="shared" si="24"/>
        <v>11.820977109668602</v>
      </c>
      <c r="F158" s="310">
        <v>12294</v>
      </c>
      <c r="G158" s="311">
        <v>12709</v>
      </c>
      <c r="H158" s="306">
        <f t="shared" si="25"/>
        <v>3.375630388807548</v>
      </c>
      <c r="I158" s="310">
        <v>3014</v>
      </c>
      <c r="J158" s="311">
        <v>3345</v>
      </c>
      <c r="K158" s="306">
        <f t="shared" si="26"/>
        <v>10.982083609820837</v>
      </c>
      <c r="L158" s="310">
        <v>12522</v>
      </c>
      <c r="M158" s="311">
        <v>12930</v>
      </c>
      <c r="N158" s="306">
        <f t="shared" si="27"/>
        <v>3.2582654528030663</v>
      </c>
      <c r="O158" s="310"/>
      <c r="P158" s="311"/>
      <c r="Q158" s="306"/>
      <c r="R158" s="310"/>
      <c r="S158" s="311"/>
      <c r="T158" s="306"/>
      <c r="U158" s="310"/>
      <c r="V158" s="311"/>
      <c r="W158" s="306"/>
      <c r="X158" s="310"/>
      <c r="Y158" s="311"/>
      <c r="Z158" s="306"/>
      <c r="AA158" s="310"/>
      <c r="AB158" s="311"/>
      <c r="AC158" s="306"/>
      <c r="AD158" s="310"/>
      <c r="AE158" s="311"/>
      <c r="AF158" s="306"/>
      <c r="AG158" s="310"/>
      <c r="AH158" s="311"/>
      <c r="AI158" s="306"/>
      <c r="AJ158" s="310"/>
      <c r="AK158" s="311"/>
      <c r="AL158" s="306"/>
      <c r="AM158" s="310"/>
      <c r="AN158" s="311"/>
      <c r="AO158" s="306"/>
      <c r="AP158" s="310"/>
      <c r="AQ158" s="311"/>
      <c r="AR158" s="306"/>
      <c r="AS158" s="310"/>
      <c r="AT158" s="311"/>
      <c r="AU158" s="306"/>
      <c r="AV158" s="310"/>
      <c r="AW158" s="311"/>
      <c r="AX158" s="306"/>
      <c r="AY158" s="310"/>
      <c r="AZ158" s="311"/>
      <c r="BA158" s="306"/>
      <c r="BB158" s="310"/>
      <c r="BC158" s="311"/>
      <c r="BD158" s="306"/>
      <c r="BE158" s="312"/>
      <c r="BF158" s="312"/>
      <c r="BG158" s="312"/>
      <c r="BH158" s="312"/>
      <c r="BI158" s="312"/>
      <c r="BJ158" s="312"/>
      <c r="BK158" s="312"/>
      <c r="BL158" s="312"/>
      <c r="BM158" s="312"/>
      <c r="BN158" s="312"/>
      <c r="BO158" s="312"/>
      <c r="BP158" s="312"/>
      <c r="BQ158" s="312"/>
      <c r="BR158" s="312"/>
      <c r="BS158" s="312"/>
      <c r="BT158" s="312"/>
      <c r="BU158" s="312"/>
      <c r="BV158" s="312"/>
      <c r="BW158" s="312"/>
      <c r="BX158" s="312"/>
      <c r="BY158" s="312"/>
      <c r="BZ158" s="312"/>
      <c r="CA158" s="312"/>
      <c r="CB158" s="312"/>
      <c r="CC158" s="312"/>
      <c r="CD158" s="312"/>
      <c r="CE158" s="312"/>
      <c r="CF158" s="312"/>
      <c r="CG158" s="312"/>
      <c r="CH158" s="312"/>
      <c r="CI158" s="312"/>
      <c r="CJ158" s="312"/>
      <c r="CK158" s="312"/>
      <c r="CL158" s="312"/>
      <c r="CM158" s="312"/>
      <c r="CN158" s="312"/>
      <c r="CO158" s="312"/>
      <c r="CP158" s="312"/>
      <c r="CQ158" s="312"/>
      <c r="CR158" s="312"/>
    </row>
    <row r="159" spans="1:96" s="300" customFormat="1" ht="15.75" customHeight="1">
      <c r="A159" s="313"/>
      <c r="B159" s="305" t="s">
        <v>668</v>
      </c>
      <c r="C159" s="311">
        <v>2237</v>
      </c>
      <c r="D159" s="311">
        <v>2521</v>
      </c>
      <c r="E159" s="306">
        <f t="shared" si="24"/>
        <v>12.695574430040232</v>
      </c>
      <c r="F159" s="310">
        <v>11598</v>
      </c>
      <c r="G159" s="311">
        <v>11957</v>
      </c>
      <c r="H159" s="306">
        <f t="shared" si="25"/>
        <v>3.095361269184342</v>
      </c>
      <c r="I159" s="310">
        <v>2309</v>
      </c>
      <c r="J159" s="311">
        <v>2593</v>
      </c>
      <c r="K159" s="306">
        <f t="shared" si="26"/>
        <v>12.299696838458207</v>
      </c>
      <c r="L159" s="310">
        <v>11824</v>
      </c>
      <c r="M159" s="311">
        <v>12183</v>
      </c>
      <c r="N159" s="306">
        <f t="shared" si="27"/>
        <v>3.0361975642760486</v>
      </c>
      <c r="O159" s="310"/>
      <c r="P159" s="311"/>
      <c r="Q159" s="306"/>
      <c r="R159" s="310"/>
      <c r="S159" s="311"/>
      <c r="T159" s="306"/>
      <c r="U159" s="310"/>
      <c r="V159" s="311"/>
      <c r="W159" s="306"/>
      <c r="X159" s="310"/>
      <c r="Y159" s="311"/>
      <c r="Z159" s="306"/>
      <c r="AA159" s="310"/>
      <c r="AB159" s="311"/>
      <c r="AC159" s="306"/>
      <c r="AD159" s="310"/>
      <c r="AE159" s="311"/>
      <c r="AF159" s="306"/>
      <c r="AG159" s="310"/>
      <c r="AH159" s="311"/>
      <c r="AI159" s="306"/>
      <c r="AJ159" s="310"/>
      <c r="AK159" s="311"/>
      <c r="AL159" s="306"/>
      <c r="AM159" s="310"/>
      <c r="AN159" s="311"/>
      <c r="AO159" s="306"/>
      <c r="AP159" s="310"/>
      <c r="AQ159" s="311"/>
      <c r="AR159" s="306"/>
      <c r="AS159" s="310"/>
      <c r="AT159" s="311"/>
      <c r="AU159" s="306"/>
      <c r="AV159" s="310"/>
      <c r="AW159" s="311"/>
      <c r="AX159" s="306"/>
      <c r="AY159" s="310"/>
      <c r="AZ159" s="311"/>
      <c r="BA159" s="306"/>
      <c r="BB159" s="310"/>
      <c r="BC159" s="311"/>
      <c r="BD159" s="306"/>
      <c r="BE159" s="312"/>
      <c r="BF159" s="312"/>
      <c r="BG159" s="312"/>
      <c r="BH159" s="312"/>
      <c r="BI159" s="312"/>
      <c r="BJ159" s="312"/>
      <c r="BK159" s="312"/>
      <c r="BL159" s="312"/>
      <c r="BM159" s="312"/>
      <c r="BN159" s="312"/>
      <c r="BO159" s="312"/>
      <c r="BP159" s="312"/>
      <c r="BQ159" s="312"/>
      <c r="BR159" s="312"/>
      <c r="BS159" s="312"/>
      <c r="BT159" s="312"/>
      <c r="BU159" s="312"/>
      <c r="BV159" s="312"/>
      <c r="BW159" s="312"/>
      <c r="BX159" s="312"/>
      <c r="BY159" s="312"/>
      <c r="BZ159" s="312"/>
      <c r="CA159" s="312"/>
      <c r="CB159" s="312"/>
      <c r="CC159" s="312"/>
      <c r="CD159" s="312"/>
      <c r="CE159" s="312"/>
      <c r="CF159" s="312"/>
      <c r="CG159" s="312"/>
      <c r="CH159" s="312"/>
      <c r="CI159" s="312"/>
      <c r="CJ159" s="312"/>
      <c r="CK159" s="312"/>
      <c r="CL159" s="312"/>
      <c r="CM159" s="312"/>
      <c r="CN159" s="312"/>
      <c r="CO159" s="312"/>
      <c r="CP159" s="312"/>
      <c r="CQ159" s="312"/>
      <c r="CR159" s="312"/>
    </row>
    <row r="160" spans="1:96" s="300" customFormat="1" ht="15.75" customHeight="1">
      <c r="A160" s="313"/>
      <c r="B160" s="305" t="s">
        <v>669</v>
      </c>
      <c r="C160" s="311">
        <v>2565</v>
      </c>
      <c r="D160" s="311">
        <v>2825</v>
      </c>
      <c r="E160" s="306">
        <f t="shared" si="24"/>
        <v>10.1364522417154</v>
      </c>
      <c r="F160" s="310">
        <v>11930</v>
      </c>
      <c r="G160" s="311">
        <v>12265</v>
      </c>
      <c r="H160" s="306">
        <f t="shared" si="25"/>
        <v>2.8080469404861694</v>
      </c>
      <c r="I160" s="310">
        <v>2362</v>
      </c>
      <c r="J160" s="311">
        <v>2613</v>
      </c>
      <c r="K160" s="306">
        <f t="shared" si="26"/>
        <v>10.626587637595259</v>
      </c>
      <c r="L160" s="310">
        <v>11874</v>
      </c>
      <c r="M160" s="311">
        <v>12200</v>
      </c>
      <c r="N160" s="306">
        <f t="shared" si="27"/>
        <v>2.745494357419572</v>
      </c>
      <c r="O160" s="310"/>
      <c r="P160" s="311"/>
      <c r="Q160" s="306"/>
      <c r="R160" s="310"/>
      <c r="S160" s="311"/>
      <c r="T160" s="306"/>
      <c r="U160" s="310"/>
      <c r="V160" s="311"/>
      <c r="W160" s="306"/>
      <c r="X160" s="310"/>
      <c r="Y160" s="311"/>
      <c r="Z160" s="306"/>
      <c r="AA160" s="310"/>
      <c r="AB160" s="311"/>
      <c r="AC160" s="306"/>
      <c r="AD160" s="310"/>
      <c r="AE160" s="311"/>
      <c r="AF160" s="306"/>
      <c r="AG160" s="310"/>
      <c r="AH160" s="311"/>
      <c r="AI160" s="306"/>
      <c r="AJ160" s="310"/>
      <c r="AK160" s="311"/>
      <c r="AL160" s="306"/>
      <c r="AM160" s="310"/>
      <c r="AN160" s="311"/>
      <c r="AO160" s="306"/>
      <c r="AP160" s="310"/>
      <c r="AQ160" s="311"/>
      <c r="AR160" s="306"/>
      <c r="AS160" s="310"/>
      <c r="AT160" s="311"/>
      <c r="AU160" s="306"/>
      <c r="AV160" s="310"/>
      <c r="AW160" s="311"/>
      <c r="AX160" s="306"/>
      <c r="AY160" s="310"/>
      <c r="AZ160" s="311"/>
      <c r="BA160" s="306"/>
      <c r="BB160" s="310"/>
      <c r="BC160" s="311"/>
      <c r="BD160" s="306"/>
      <c r="BE160" s="312"/>
      <c r="BF160" s="312"/>
      <c r="BG160" s="312"/>
      <c r="BH160" s="312"/>
      <c r="BI160" s="312"/>
      <c r="BJ160" s="312"/>
      <c r="BK160" s="312"/>
      <c r="BL160" s="312"/>
      <c r="BM160" s="312"/>
      <c r="BN160" s="312"/>
      <c r="BO160" s="312"/>
      <c r="BP160" s="312"/>
      <c r="BQ160" s="312"/>
      <c r="BR160" s="312"/>
      <c r="BS160" s="312"/>
      <c r="BT160" s="312"/>
      <c r="BU160" s="312"/>
      <c r="BV160" s="312"/>
      <c r="BW160" s="312"/>
      <c r="BX160" s="312"/>
      <c r="BY160" s="312"/>
      <c r="BZ160" s="312"/>
      <c r="CA160" s="312"/>
      <c r="CB160" s="312"/>
      <c r="CC160" s="312"/>
      <c r="CD160" s="312"/>
      <c r="CE160" s="312"/>
      <c r="CF160" s="312"/>
      <c r="CG160" s="312"/>
      <c r="CH160" s="312"/>
      <c r="CI160" s="312"/>
      <c r="CJ160" s="312"/>
      <c r="CK160" s="312"/>
      <c r="CL160" s="312"/>
      <c r="CM160" s="312"/>
      <c r="CN160" s="312"/>
      <c r="CO160" s="312"/>
      <c r="CP160" s="312"/>
      <c r="CQ160" s="312"/>
      <c r="CR160" s="312"/>
    </row>
    <row r="161" spans="1:96" s="300" customFormat="1" ht="15.75" customHeight="1">
      <c r="A161" s="313"/>
      <c r="B161" s="305" t="s">
        <v>670</v>
      </c>
      <c r="C161" s="311">
        <v>2394</v>
      </c>
      <c r="D161" s="311">
        <v>2675</v>
      </c>
      <c r="E161" s="306">
        <f t="shared" si="24"/>
        <v>11.737677527151211</v>
      </c>
      <c r="F161" s="310">
        <v>10659</v>
      </c>
      <c r="G161" s="311">
        <v>11015</v>
      </c>
      <c r="H161" s="306">
        <f t="shared" si="25"/>
        <v>3.3399005535228445</v>
      </c>
      <c r="I161" s="310">
        <v>2453</v>
      </c>
      <c r="J161" s="311">
        <v>2734</v>
      </c>
      <c r="K161" s="306">
        <f t="shared" si="26"/>
        <v>11.455360782715044</v>
      </c>
      <c r="L161" s="310">
        <v>10871</v>
      </c>
      <c r="M161" s="311">
        <v>11227</v>
      </c>
      <c r="N161" s="306">
        <f t="shared" si="27"/>
        <v>3.274767730659553</v>
      </c>
      <c r="O161" s="310"/>
      <c r="P161" s="311"/>
      <c r="Q161" s="306"/>
      <c r="R161" s="310"/>
      <c r="S161" s="311"/>
      <c r="T161" s="306"/>
      <c r="U161" s="310"/>
      <c r="V161" s="311"/>
      <c r="W161" s="306"/>
      <c r="X161" s="310"/>
      <c r="Y161" s="311"/>
      <c r="Z161" s="306"/>
      <c r="AA161" s="310"/>
      <c r="AB161" s="311"/>
      <c r="AC161" s="306"/>
      <c r="AD161" s="310"/>
      <c r="AE161" s="311"/>
      <c r="AF161" s="306"/>
      <c r="AG161" s="310"/>
      <c r="AH161" s="311"/>
      <c r="AI161" s="306"/>
      <c r="AJ161" s="310"/>
      <c r="AK161" s="311"/>
      <c r="AL161" s="306"/>
      <c r="AM161" s="310"/>
      <c r="AN161" s="311"/>
      <c r="AO161" s="306"/>
      <c r="AP161" s="310"/>
      <c r="AQ161" s="311"/>
      <c r="AR161" s="306"/>
      <c r="AS161" s="310"/>
      <c r="AT161" s="311"/>
      <c r="AU161" s="306"/>
      <c r="AV161" s="310"/>
      <c r="AW161" s="311"/>
      <c r="AX161" s="306"/>
      <c r="AY161" s="310"/>
      <c r="AZ161" s="311"/>
      <c r="BA161" s="306"/>
      <c r="BB161" s="310"/>
      <c r="BC161" s="311"/>
      <c r="BD161" s="306"/>
      <c r="BE161" s="312"/>
      <c r="BF161" s="312"/>
      <c r="BG161" s="312"/>
      <c r="BH161" s="312"/>
      <c r="BI161" s="312"/>
      <c r="BJ161" s="312"/>
      <c r="BK161" s="312"/>
      <c r="BL161" s="312"/>
      <c r="BM161" s="312"/>
      <c r="BN161" s="312"/>
      <c r="BO161" s="312"/>
      <c r="BP161" s="312"/>
      <c r="BQ161" s="312"/>
      <c r="BR161" s="312"/>
      <c r="BS161" s="312"/>
      <c r="BT161" s="312"/>
      <c r="BU161" s="312"/>
      <c r="BV161" s="312"/>
      <c r="BW161" s="312"/>
      <c r="BX161" s="312"/>
      <c r="BY161" s="312"/>
      <c r="BZ161" s="312"/>
      <c r="CA161" s="312"/>
      <c r="CB161" s="312"/>
      <c r="CC161" s="312"/>
      <c r="CD161" s="312"/>
      <c r="CE161" s="312"/>
      <c r="CF161" s="312"/>
      <c r="CG161" s="312"/>
      <c r="CH161" s="312"/>
      <c r="CI161" s="312"/>
      <c r="CJ161" s="312"/>
      <c r="CK161" s="312"/>
      <c r="CL161" s="312"/>
      <c r="CM161" s="312"/>
      <c r="CN161" s="312"/>
      <c r="CO161" s="312"/>
      <c r="CP161" s="312"/>
      <c r="CQ161" s="312"/>
      <c r="CR161" s="312"/>
    </row>
    <row r="162" spans="1:96" s="300" customFormat="1" ht="15.75" customHeight="1">
      <c r="A162" s="313"/>
      <c r="B162" s="305" t="s">
        <v>1041</v>
      </c>
      <c r="C162" s="311">
        <v>2927</v>
      </c>
      <c r="D162" s="311">
        <v>3273</v>
      </c>
      <c r="E162" s="306">
        <f t="shared" si="24"/>
        <v>11.820977109668602</v>
      </c>
      <c r="F162" s="310">
        <v>12171</v>
      </c>
      <c r="G162" s="311">
        <v>12641</v>
      </c>
      <c r="H162" s="306">
        <f t="shared" si="25"/>
        <v>3.861638320598143</v>
      </c>
      <c r="I162" s="310">
        <v>3014</v>
      </c>
      <c r="J162" s="311">
        <v>3345</v>
      </c>
      <c r="K162" s="306">
        <f t="shared" si="26"/>
        <v>10.982083609820837</v>
      </c>
      <c r="L162" s="310">
        <v>12456</v>
      </c>
      <c r="M162" s="311">
        <v>12854</v>
      </c>
      <c r="N162" s="306">
        <f t="shared" si="27"/>
        <v>3.195247270391779</v>
      </c>
      <c r="O162" s="310"/>
      <c r="P162" s="311"/>
      <c r="Q162" s="306"/>
      <c r="R162" s="310"/>
      <c r="S162" s="311"/>
      <c r="T162" s="306"/>
      <c r="U162" s="310"/>
      <c r="V162" s="311"/>
      <c r="W162" s="306"/>
      <c r="X162" s="310"/>
      <c r="Y162" s="311"/>
      <c r="Z162" s="306"/>
      <c r="AA162" s="310"/>
      <c r="AB162" s="311"/>
      <c r="AC162" s="306"/>
      <c r="AD162" s="310"/>
      <c r="AE162" s="311"/>
      <c r="AF162" s="306"/>
      <c r="AG162" s="310"/>
      <c r="AH162" s="311"/>
      <c r="AI162" s="306"/>
      <c r="AJ162" s="310"/>
      <c r="AK162" s="311"/>
      <c r="AL162" s="306"/>
      <c r="AM162" s="310"/>
      <c r="AN162" s="311"/>
      <c r="AO162" s="306"/>
      <c r="AP162" s="310"/>
      <c r="AQ162" s="311"/>
      <c r="AR162" s="306"/>
      <c r="AS162" s="310"/>
      <c r="AT162" s="311"/>
      <c r="AU162" s="306"/>
      <c r="AV162" s="310"/>
      <c r="AW162" s="311"/>
      <c r="AX162" s="306"/>
      <c r="AY162" s="310"/>
      <c r="AZ162" s="311"/>
      <c r="BA162" s="306"/>
      <c r="BB162" s="310"/>
      <c r="BC162" s="311"/>
      <c r="BD162" s="306"/>
      <c r="BE162" s="312"/>
      <c r="BF162" s="312"/>
      <c r="BG162" s="312"/>
      <c r="BH162" s="312"/>
      <c r="BI162" s="312"/>
      <c r="BJ162" s="312"/>
      <c r="BK162" s="312"/>
      <c r="BL162" s="312"/>
      <c r="BM162" s="312"/>
      <c r="BN162" s="312"/>
      <c r="BO162" s="312"/>
      <c r="BP162" s="312"/>
      <c r="BQ162" s="312"/>
      <c r="BR162" s="312"/>
      <c r="BS162" s="312"/>
      <c r="BT162" s="312"/>
      <c r="BU162" s="312"/>
      <c r="BV162" s="312"/>
      <c r="BW162" s="312"/>
      <c r="BX162" s="312"/>
      <c r="BY162" s="312"/>
      <c r="BZ162" s="312"/>
      <c r="CA162" s="312"/>
      <c r="CB162" s="312"/>
      <c r="CC162" s="312"/>
      <c r="CD162" s="312"/>
      <c r="CE162" s="312"/>
      <c r="CF162" s="312"/>
      <c r="CG162" s="312"/>
      <c r="CH162" s="312"/>
      <c r="CI162" s="312"/>
      <c r="CJ162" s="312"/>
      <c r="CK162" s="312"/>
      <c r="CL162" s="312"/>
      <c r="CM162" s="312"/>
      <c r="CN162" s="312"/>
      <c r="CO162" s="312"/>
      <c r="CP162" s="312"/>
      <c r="CQ162" s="312"/>
      <c r="CR162" s="312"/>
    </row>
    <row r="163" spans="1:96" s="300" customFormat="1" ht="15.75" customHeight="1">
      <c r="A163" s="313"/>
      <c r="B163" s="305" t="s">
        <v>671</v>
      </c>
      <c r="C163" s="311"/>
      <c r="D163" s="311"/>
      <c r="E163" s="306">
        <f t="shared" si="24"/>
        <v>0</v>
      </c>
      <c r="F163" s="310"/>
      <c r="G163" s="311"/>
      <c r="H163" s="306">
        <f t="shared" si="25"/>
        <v>0</v>
      </c>
      <c r="I163" s="310"/>
      <c r="J163" s="311"/>
      <c r="K163" s="306"/>
      <c r="L163" s="310"/>
      <c r="M163" s="311"/>
      <c r="N163" s="306"/>
      <c r="O163" s="310"/>
      <c r="P163" s="311"/>
      <c r="Q163" s="306"/>
      <c r="R163" s="310"/>
      <c r="S163" s="311"/>
      <c r="T163" s="306"/>
      <c r="U163" s="310"/>
      <c r="V163" s="311"/>
      <c r="W163" s="306"/>
      <c r="X163" s="310"/>
      <c r="Y163" s="311"/>
      <c r="Z163" s="306"/>
      <c r="AA163" s="310"/>
      <c r="AB163" s="311"/>
      <c r="AC163" s="306"/>
      <c r="AD163" s="310"/>
      <c r="AE163" s="311"/>
      <c r="AF163" s="306"/>
      <c r="AG163" s="310"/>
      <c r="AH163" s="311"/>
      <c r="AI163" s="306"/>
      <c r="AJ163" s="310"/>
      <c r="AK163" s="311"/>
      <c r="AL163" s="306"/>
      <c r="AM163" s="310"/>
      <c r="AN163" s="311"/>
      <c r="AO163" s="306"/>
      <c r="AP163" s="310"/>
      <c r="AQ163" s="311"/>
      <c r="AR163" s="306"/>
      <c r="AS163" s="310"/>
      <c r="AT163" s="311"/>
      <c r="AU163" s="306"/>
      <c r="AV163" s="310"/>
      <c r="AW163" s="311"/>
      <c r="AX163" s="306"/>
      <c r="AY163" s="310"/>
      <c r="AZ163" s="311"/>
      <c r="BA163" s="306"/>
      <c r="BB163" s="310"/>
      <c r="BC163" s="311"/>
      <c r="BD163" s="306"/>
      <c r="BE163" s="312"/>
      <c r="BF163" s="312"/>
      <c r="BG163" s="312"/>
      <c r="BH163" s="312"/>
      <c r="BI163" s="312"/>
      <c r="BJ163" s="312"/>
      <c r="BK163" s="312"/>
      <c r="BL163" s="312"/>
      <c r="BM163" s="312"/>
      <c r="BN163" s="312"/>
      <c r="BO163" s="312"/>
      <c r="BP163" s="312"/>
      <c r="BQ163" s="312"/>
      <c r="BR163" s="312"/>
      <c r="BS163" s="312"/>
      <c r="BT163" s="312"/>
      <c r="BU163" s="312"/>
      <c r="BV163" s="312"/>
      <c r="BW163" s="312"/>
      <c r="BX163" s="312"/>
      <c r="BY163" s="312"/>
      <c r="BZ163" s="312"/>
      <c r="CA163" s="312"/>
      <c r="CB163" s="312"/>
      <c r="CC163" s="312"/>
      <c r="CD163" s="312"/>
      <c r="CE163" s="312"/>
      <c r="CF163" s="312"/>
      <c r="CG163" s="312"/>
      <c r="CH163" s="312"/>
      <c r="CI163" s="312"/>
      <c r="CJ163" s="312"/>
      <c r="CK163" s="312"/>
      <c r="CL163" s="312"/>
      <c r="CM163" s="312"/>
      <c r="CN163" s="312"/>
      <c r="CO163" s="312"/>
      <c r="CP163" s="312"/>
      <c r="CQ163" s="312"/>
      <c r="CR163" s="312"/>
    </row>
    <row r="164" spans="1:96" s="300" customFormat="1" ht="15.75" customHeight="1">
      <c r="A164" s="313"/>
      <c r="B164" s="305" t="s">
        <v>672</v>
      </c>
      <c r="C164" s="311">
        <v>1168</v>
      </c>
      <c r="D164" s="311">
        <v>1244</v>
      </c>
      <c r="E164" s="306">
        <f t="shared" si="24"/>
        <v>6.506849315068493</v>
      </c>
      <c r="F164" s="310">
        <v>6336</v>
      </c>
      <c r="G164" s="311">
        <v>6780</v>
      </c>
      <c r="H164" s="306">
        <f t="shared" si="25"/>
        <v>7.007575757575757</v>
      </c>
      <c r="I164" s="310"/>
      <c r="J164" s="311"/>
      <c r="K164" s="306"/>
      <c r="L164" s="310"/>
      <c r="M164" s="311"/>
      <c r="N164" s="306"/>
      <c r="O164" s="310"/>
      <c r="P164" s="311"/>
      <c r="Q164" s="306"/>
      <c r="R164" s="310"/>
      <c r="S164" s="311"/>
      <c r="T164" s="306"/>
      <c r="U164" s="310"/>
      <c r="V164" s="311"/>
      <c r="W164" s="306"/>
      <c r="X164" s="310"/>
      <c r="Y164" s="311"/>
      <c r="Z164" s="306"/>
      <c r="AA164" s="310"/>
      <c r="AB164" s="311"/>
      <c r="AC164" s="306"/>
      <c r="AD164" s="310"/>
      <c r="AE164" s="311"/>
      <c r="AF164" s="306"/>
      <c r="AG164" s="310"/>
      <c r="AH164" s="311"/>
      <c r="AI164" s="306"/>
      <c r="AJ164" s="310"/>
      <c r="AK164" s="311"/>
      <c r="AL164" s="306"/>
      <c r="AM164" s="310"/>
      <c r="AN164" s="311"/>
      <c r="AO164" s="306"/>
      <c r="AP164" s="310"/>
      <c r="AQ164" s="311"/>
      <c r="AR164" s="306"/>
      <c r="AS164" s="310"/>
      <c r="AT164" s="311"/>
      <c r="AU164" s="306"/>
      <c r="AV164" s="310"/>
      <c r="AW164" s="311"/>
      <c r="AX164" s="306"/>
      <c r="AY164" s="310"/>
      <c r="AZ164" s="311"/>
      <c r="BA164" s="306"/>
      <c r="BB164" s="310"/>
      <c r="BC164" s="311"/>
      <c r="BD164" s="306"/>
      <c r="BE164" s="312"/>
      <c r="BF164" s="312"/>
      <c r="BG164" s="312"/>
      <c r="BH164" s="312"/>
      <c r="BI164" s="312"/>
      <c r="BJ164" s="312"/>
      <c r="BK164" s="312"/>
      <c r="BL164" s="312"/>
      <c r="BM164" s="312"/>
      <c r="BN164" s="312"/>
      <c r="BO164" s="312"/>
      <c r="BP164" s="312"/>
      <c r="BQ164" s="312"/>
      <c r="BR164" s="312"/>
      <c r="BS164" s="312"/>
      <c r="BT164" s="312"/>
      <c r="BU164" s="312"/>
      <c r="BV164" s="312"/>
      <c r="BW164" s="312"/>
      <c r="BX164" s="312"/>
      <c r="BY164" s="312"/>
      <c r="BZ164" s="312"/>
      <c r="CA164" s="312"/>
      <c r="CB164" s="312"/>
      <c r="CC164" s="312"/>
      <c r="CD164" s="312"/>
      <c r="CE164" s="312"/>
      <c r="CF164" s="312"/>
      <c r="CG164" s="312"/>
      <c r="CH164" s="312"/>
      <c r="CI164" s="312"/>
      <c r="CJ164" s="312"/>
      <c r="CK164" s="312"/>
      <c r="CL164" s="312"/>
      <c r="CM164" s="312"/>
      <c r="CN164" s="312"/>
      <c r="CO164" s="312"/>
      <c r="CP164" s="312"/>
      <c r="CQ164" s="312"/>
      <c r="CR164" s="312"/>
    </row>
    <row r="165" spans="1:96" s="300" customFormat="1" ht="15.75" customHeight="1">
      <c r="A165" s="313"/>
      <c r="B165" s="305" t="s">
        <v>673</v>
      </c>
      <c r="C165" s="311">
        <v>1167</v>
      </c>
      <c r="D165" s="311">
        <v>1251.5</v>
      </c>
      <c r="E165" s="306">
        <f t="shared" si="24"/>
        <v>7.240788346186804</v>
      </c>
      <c r="F165" s="310">
        <v>6335</v>
      </c>
      <c r="G165" s="311">
        <v>6752</v>
      </c>
      <c r="H165" s="306">
        <f t="shared" si="25"/>
        <v>6.582478295185477</v>
      </c>
      <c r="I165" s="310"/>
      <c r="J165" s="311"/>
      <c r="K165" s="306"/>
      <c r="L165" s="310"/>
      <c r="M165" s="311"/>
      <c r="N165" s="306"/>
      <c r="O165" s="310"/>
      <c r="P165" s="311"/>
      <c r="Q165" s="306"/>
      <c r="R165" s="310"/>
      <c r="S165" s="311"/>
      <c r="T165" s="306"/>
      <c r="U165" s="310"/>
      <c r="V165" s="311"/>
      <c r="W165" s="306"/>
      <c r="X165" s="310"/>
      <c r="Y165" s="311"/>
      <c r="Z165" s="306"/>
      <c r="AA165" s="310"/>
      <c r="AB165" s="311"/>
      <c r="AC165" s="306"/>
      <c r="AD165" s="310"/>
      <c r="AE165" s="311"/>
      <c r="AF165" s="306"/>
      <c r="AG165" s="310"/>
      <c r="AH165" s="311"/>
      <c r="AI165" s="306"/>
      <c r="AJ165" s="310"/>
      <c r="AK165" s="311"/>
      <c r="AL165" s="306"/>
      <c r="AM165" s="310"/>
      <c r="AN165" s="311"/>
      <c r="AO165" s="306"/>
      <c r="AP165" s="310"/>
      <c r="AQ165" s="311"/>
      <c r="AR165" s="306"/>
      <c r="AS165" s="310"/>
      <c r="AT165" s="311"/>
      <c r="AU165" s="306"/>
      <c r="AV165" s="310"/>
      <c r="AW165" s="311"/>
      <c r="AX165" s="306"/>
      <c r="AY165" s="310"/>
      <c r="AZ165" s="311"/>
      <c r="BA165" s="306"/>
      <c r="BB165" s="310"/>
      <c r="BC165" s="311"/>
      <c r="BD165" s="306"/>
      <c r="BE165" s="312"/>
      <c r="BF165" s="312"/>
      <c r="BG165" s="312"/>
      <c r="BH165" s="312"/>
      <c r="BI165" s="312"/>
      <c r="BJ165" s="312"/>
      <c r="BK165" s="312"/>
      <c r="BL165" s="312"/>
      <c r="BM165" s="312"/>
      <c r="BN165" s="312"/>
      <c r="BO165" s="312"/>
      <c r="BP165" s="312"/>
      <c r="BQ165" s="312"/>
      <c r="BR165" s="312"/>
      <c r="BS165" s="312"/>
      <c r="BT165" s="312"/>
      <c r="BU165" s="312"/>
      <c r="BV165" s="312"/>
      <c r="BW165" s="312"/>
      <c r="BX165" s="312"/>
      <c r="BY165" s="312"/>
      <c r="BZ165" s="312"/>
      <c r="CA165" s="312"/>
      <c r="CB165" s="312"/>
      <c r="CC165" s="312"/>
      <c r="CD165" s="312"/>
      <c r="CE165" s="312"/>
      <c r="CF165" s="312"/>
      <c r="CG165" s="312"/>
      <c r="CH165" s="312"/>
      <c r="CI165" s="312"/>
      <c r="CJ165" s="312"/>
      <c r="CK165" s="312"/>
      <c r="CL165" s="312"/>
      <c r="CM165" s="312"/>
      <c r="CN165" s="312"/>
      <c r="CO165" s="312"/>
      <c r="CP165" s="312"/>
      <c r="CQ165" s="312"/>
      <c r="CR165" s="312"/>
    </row>
    <row r="166" spans="1:96" s="300" customFormat="1" ht="15.75" customHeight="1">
      <c r="A166" s="313"/>
      <c r="B166" s="305" t="s">
        <v>76</v>
      </c>
      <c r="C166" s="311">
        <v>1160</v>
      </c>
      <c r="D166" s="311">
        <v>1274</v>
      </c>
      <c r="E166" s="306">
        <f t="shared" si="24"/>
        <v>9.827586206896552</v>
      </c>
      <c r="F166" s="310">
        <v>6328</v>
      </c>
      <c r="G166" s="311">
        <v>6810</v>
      </c>
      <c r="H166" s="306">
        <f t="shared" si="25"/>
        <v>7.616940581542352</v>
      </c>
      <c r="I166" s="310"/>
      <c r="J166" s="311"/>
      <c r="K166" s="306"/>
      <c r="L166" s="310"/>
      <c r="M166" s="311"/>
      <c r="N166" s="306"/>
      <c r="O166" s="310"/>
      <c r="P166" s="311"/>
      <c r="Q166" s="306"/>
      <c r="R166" s="310"/>
      <c r="S166" s="311"/>
      <c r="T166" s="306"/>
      <c r="U166" s="310"/>
      <c r="V166" s="311"/>
      <c r="W166" s="306"/>
      <c r="X166" s="310"/>
      <c r="Y166" s="311"/>
      <c r="Z166" s="306"/>
      <c r="AA166" s="310"/>
      <c r="AB166" s="311"/>
      <c r="AC166" s="306"/>
      <c r="AD166" s="310"/>
      <c r="AE166" s="311"/>
      <c r="AF166" s="306"/>
      <c r="AG166" s="310"/>
      <c r="AH166" s="311"/>
      <c r="AI166" s="306"/>
      <c r="AJ166" s="310"/>
      <c r="AK166" s="311"/>
      <c r="AL166" s="306"/>
      <c r="AM166" s="310"/>
      <c r="AN166" s="311"/>
      <c r="AO166" s="306"/>
      <c r="AP166" s="310"/>
      <c r="AQ166" s="311"/>
      <c r="AR166" s="306"/>
      <c r="AS166" s="310"/>
      <c r="AT166" s="311"/>
      <c r="AU166" s="306"/>
      <c r="AV166" s="310"/>
      <c r="AW166" s="311"/>
      <c r="AX166" s="306"/>
      <c r="AY166" s="310"/>
      <c r="AZ166" s="311"/>
      <c r="BA166" s="306"/>
      <c r="BB166" s="310"/>
      <c r="BC166" s="311"/>
      <c r="BD166" s="306"/>
      <c r="BE166" s="312"/>
      <c r="BF166" s="312"/>
      <c r="BG166" s="312"/>
      <c r="BH166" s="312"/>
      <c r="BI166" s="312"/>
      <c r="BJ166" s="312"/>
      <c r="BK166" s="312"/>
      <c r="BL166" s="312"/>
      <c r="BM166" s="312"/>
      <c r="BN166" s="312"/>
      <c r="BO166" s="312"/>
      <c r="BP166" s="312"/>
      <c r="BQ166" s="312"/>
      <c r="BR166" s="312"/>
      <c r="BS166" s="312"/>
      <c r="BT166" s="312"/>
      <c r="BU166" s="312"/>
      <c r="BV166" s="312"/>
      <c r="BW166" s="312"/>
      <c r="BX166" s="312"/>
      <c r="BY166" s="312"/>
      <c r="BZ166" s="312"/>
      <c r="CA166" s="312"/>
      <c r="CB166" s="312"/>
      <c r="CC166" s="312"/>
      <c r="CD166" s="312"/>
      <c r="CE166" s="312"/>
      <c r="CF166" s="312"/>
      <c r="CG166" s="312"/>
      <c r="CH166" s="312"/>
      <c r="CI166" s="312"/>
      <c r="CJ166" s="312"/>
      <c r="CK166" s="312"/>
      <c r="CL166" s="312"/>
      <c r="CM166" s="312"/>
      <c r="CN166" s="312"/>
      <c r="CO166" s="312"/>
      <c r="CP166" s="312"/>
      <c r="CQ166" s="312"/>
      <c r="CR166" s="312"/>
    </row>
    <row r="167" spans="1:96" s="300" customFormat="1" ht="15.75" customHeight="1">
      <c r="A167" s="313"/>
      <c r="B167" s="305" t="s">
        <v>473</v>
      </c>
      <c r="C167" s="311">
        <v>1166</v>
      </c>
      <c r="D167" s="311">
        <v>1254.5</v>
      </c>
      <c r="E167" s="306">
        <f t="shared" si="24"/>
        <v>7.590051457975987</v>
      </c>
      <c r="F167" s="310">
        <v>6334</v>
      </c>
      <c r="G167" s="311">
        <v>6780</v>
      </c>
      <c r="H167" s="306">
        <f t="shared" si="25"/>
        <v>7.041364066940322</v>
      </c>
      <c r="I167" s="310"/>
      <c r="J167" s="311"/>
      <c r="K167" s="306"/>
      <c r="L167" s="310"/>
      <c r="M167" s="311"/>
      <c r="N167" s="306"/>
      <c r="O167" s="310"/>
      <c r="P167" s="311"/>
      <c r="Q167" s="306"/>
      <c r="R167" s="310"/>
      <c r="S167" s="311"/>
      <c r="T167" s="306"/>
      <c r="U167" s="310"/>
      <c r="V167" s="311"/>
      <c r="W167" s="306"/>
      <c r="X167" s="310"/>
      <c r="Y167" s="311"/>
      <c r="Z167" s="306"/>
      <c r="AA167" s="310"/>
      <c r="AB167" s="311"/>
      <c r="AC167" s="306"/>
      <c r="AD167" s="310"/>
      <c r="AE167" s="311"/>
      <c r="AF167" s="306"/>
      <c r="AG167" s="310"/>
      <c r="AH167" s="311"/>
      <c r="AI167" s="306"/>
      <c r="AJ167" s="310"/>
      <c r="AK167" s="311"/>
      <c r="AL167" s="306"/>
      <c r="AM167" s="310"/>
      <c r="AN167" s="311"/>
      <c r="AO167" s="306"/>
      <c r="AP167" s="310"/>
      <c r="AQ167" s="311"/>
      <c r="AR167" s="306"/>
      <c r="AS167" s="310"/>
      <c r="AT167" s="311"/>
      <c r="AU167" s="306"/>
      <c r="AV167" s="310"/>
      <c r="AW167" s="311"/>
      <c r="AX167" s="306"/>
      <c r="AY167" s="310"/>
      <c r="AZ167" s="311"/>
      <c r="BA167" s="306"/>
      <c r="BB167" s="310"/>
      <c r="BC167" s="311"/>
      <c r="BD167" s="306"/>
      <c r="BE167" s="312"/>
      <c r="BF167" s="312"/>
      <c r="BG167" s="312"/>
      <c r="BH167" s="312"/>
      <c r="BI167" s="312"/>
      <c r="BJ167" s="312"/>
      <c r="BK167" s="312"/>
      <c r="BL167" s="312"/>
      <c r="BM167" s="312"/>
      <c r="BN167" s="312"/>
      <c r="BO167" s="312"/>
      <c r="BP167" s="312"/>
      <c r="BQ167" s="312"/>
      <c r="BR167" s="312"/>
      <c r="BS167" s="312"/>
      <c r="BT167" s="312"/>
      <c r="BU167" s="312"/>
      <c r="BV167" s="312"/>
      <c r="BW167" s="312"/>
      <c r="BX167" s="312"/>
      <c r="BY167" s="312"/>
      <c r="BZ167" s="312"/>
      <c r="CA167" s="312"/>
      <c r="CB167" s="312"/>
      <c r="CC167" s="312"/>
      <c r="CD167" s="312"/>
      <c r="CE167" s="312"/>
      <c r="CF167" s="312"/>
      <c r="CG167" s="312"/>
      <c r="CH167" s="312"/>
      <c r="CI167" s="312"/>
      <c r="CJ167" s="312"/>
      <c r="CK167" s="312"/>
      <c r="CL167" s="312"/>
      <c r="CM167" s="312"/>
      <c r="CN167" s="312"/>
      <c r="CO167" s="312"/>
      <c r="CP167" s="312"/>
      <c r="CQ167" s="312"/>
      <c r="CR167" s="312"/>
    </row>
    <row r="168" spans="1:96" s="300" customFormat="1" ht="15.75" customHeight="1">
      <c r="A168" s="313"/>
      <c r="B168" s="305" t="s">
        <v>77</v>
      </c>
      <c r="C168" s="311"/>
      <c r="D168" s="311"/>
      <c r="E168" s="306">
        <f t="shared" si="24"/>
        <v>0</v>
      </c>
      <c r="F168" s="310"/>
      <c r="G168" s="311"/>
      <c r="H168" s="306">
        <f t="shared" si="25"/>
        <v>0</v>
      </c>
      <c r="I168" s="310"/>
      <c r="J168" s="311"/>
      <c r="K168" s="306"/>
      <c r="L168" s="310"/>
      <c r="M168" s="311"/>
      <c r="N168" s="306"/>
      <c r="O168" s="310"/>
      <c r="P168" s="311"/>
      <c r="Q168" s="306"/>
      <c r="R168" s="310"/>
      <c r="S168" s="311"/>
      <c r="T168" s="306"/>
      <c r="U168" s="310"/>
      <c r="V168" s="311"/>
      <c r="W168" s="306"/>
      <c r="X168" s="310"/>
      <c r="Y168" s="311"/>
      <c r="Z168" s="306"/>
      <c r="AA168" s="310"/>
      <c r="AB168" s="311"/>
      <c r="AC168" s="306"/>
      <c r="AD168" s="310"/>
      <c r="AE168" s="311"/>
      <c r="AF168" s="306"/>
      <c r="AG168" s="310"/>
      <c r="AH168" s="311"/>
      <c r="AI168" s="306"/>
      <c r="AJ168" s="310"/>
      <c r="AK168" s="311"/>
      <c r="AL168" s="306"/>
      <c r="AM168" s="310"/>
      <c r="AN168" s="311"/>
      <c r="AO168" s="306"/>
      <c r="AP168" s="310"/>
      <c r="AQ168" s="311"/>
      <c r="AR168" s="306"/>
      <c r="AS168" s="310"/>
      <c r="AT168" s="311"/>
      <c r="AU168" s="306"/>
      <c r="AV168" s="310"/>
      <c r="AW168" s="311"/>
      <c r="AX168" s="306"/>
      <c r="AY168" s="310"/>
      <c r="AZ168" s="311"/>
      <c r="BA168" s="306"/>
      <c r="BB168" s="310"/>
      <c r="BC168" s="311"/>
      <c r="BD168" s="306"/>
      <c r="BE168" s="312"/>
      <c r="BF168" s="312"/>
      <c r="BG168" s="312"/>
      <c r="BH168" s="312"/>
      <c r="BI168" s="312"/>
      <c r="BJ168" s="312"/>
      <c r="BK168" s="312"/>
      <c r="BL168" s="312"/>
      <c r="BM168" s="312"/>
      <c r="BN168" s="312"/>
      <c r="BO168" s="312"/>
      <c r="BP168" s="312"/>
      <c r="BQ168" s="312"/>
      <c r="BR168" s="312"/>
      <c r="BS168" s="312"/>
      <c r="BT168" s="312"/>
      <c r="BU168" s="312"/>
      <c r="BV168" s="312"/>
      <c r="BW168" s="312"/>
      <c r="BX168" s="312"/>
      <c r="BY168" s="312"/>
      <c r="BZ168" s="312"/>
      <c r="CA168" s="312"/>
      <c r="CB168" s="312"/>
      <c r="CC168" s="312"/>
      <c r="CD168" s="312"/>
      <c r="CE168" s="312"/>
      <c r="CF168" s="312"/>
      <c r="CG168" s="312"/>
      <c r="CH168" s="312"/>
      <c r="CI168" s="312"/>
      <c r="CJ168" s="312"/>
      <c r="CK168" s="312"/>
      <c r="CL168" s="312"/>
      <c r="CM168" s="312"/>
      <c r="CN168" s="312"/>
      <c r="CO168" s="312"/>
      <c r="CP168" s="312"/>
      <c r="CQ168" s="312"/>
      <c r="CR168" s="312"/>
    </row>
    <row r="169" spans="1:96" s="300" customFormat="1" ht="15.75" customHeight="1">
      <c r="A169" s="313"/>
      <c r="B169" s="305" t="s">
        <v>63</v>
      </c>
      <c r="C169" s="311"/>
      <c r="D169" s="311"/>
      <c r="E169" s="306">
        <f t="shared" si="24"/>
        <v>0</v>
      </c>
      <c r="F169" s="310"/>
      <c r="G169" s="311"/>
      <c r="H169" s="306">
        <f t="shared" si="25"/>
        <v>0</v>
      </c>
      <c r="I169" s="310"/>
      <c r="J169" s="311"/>
      <c r="K169" s="306"/>
      <c r="L169" s="310"/>
      <c r="M169" s="311"/>
      <c r="N169" s="306"/>
      <c r="O169" s="310"/>
      <c r="P169" s="311"/>
      <c r="Q169" s="306"/>
      <c r="R169" s="310"/>
      <c r="S169" s="311"/>
      <c r="T169" s="306"/>
      <c r="U169" s="310"/>
      <c r="V169" s="311"/>
      <c r="W169" s="306"/>
      <c r="X169" s="310"/>
      <c r="Y169" s="311"/>
      <c r="Z169" s="306"/>
      <c r="AA169" s="310"/>
      <c r="AB169" s="311"/>
      <c r="AC169" s="306"/>
      <c r="AD169" s="310"/>
      <c r="AE169" s="311"/>
      <c r="AF169" s="306"/>
      <c r="AG169" s="310"/>
      <c r="AH169" s="311"/>
      <c r="AI169" s="306"/>
      <c r="AJ169" s="310"/>
      <c r="AK169" s="311"/>
      <c r="AL169" s="306"/>
      <c r="AM169" s="310"/>
      <c r="AN169" s="311"/>
      <c r="AO169" s="306"/>
      <c r="AP169" s="310"/>
      <c r="AQ169" s="311"/>
      <c r="AR169" s="306"/>
      <c r="AS169" s="310"/>
      <c r="AT169" s="311"/>
      <c r="AU169" s="306"/>
      <c r="AV169" s="310"/>
      <c r="AW169" s="311"/>
      <c r="AX169" s="306"/>
      <c r="AY169" s="310"/>
      <c r="AZ169" s="311"/>
      <c r="BA169" s="306"/>
      <c r="BB169" s="310"/>
      <c r="BC169" s="311"/>
      <c r="BD169" s="306"/>
      <c r="BE169" s="312"/>
      <c r="BF169" s="312"/>
      <c r="BG169" s="312"/>
      <c r="BH169" s="312"/>
      <c r="BI169" s="312"/>
      <c r="BJ169" s="312"/>
      <c r="BK169" s="312"/>
      <c r="BL169" s="312"/>
      <c r="BM169" s="312"/>
      <c r="BN169" s="312"/>
      <c r="BO169" s="312"/>
      <c r="BP169" s="312"/>
      <c r="BQ169" s="312"/>
      <c r="BR169" s="312"/>
      <c r="BS169" s="312"/>
      <c r="BT169" s="312"/>
      <c r="BU169" s="312"/>
      <c r="BV169" s="312"/>
      <c r="BW169" s="312"/>
      <c r="BX169" s="312"/>
      <c r="BY169" s="312"/>
      <c r="BZ169" s="312"/>
      <c r="CA169" s="312"/>
      <c r="CB169" s="312"/>
      <c r="CC169" s="312"/>
      <c r="CD169" s="312"/>
      <c r="CE169" s="312"/>
      <c r="CF169" s="312"/>
      <c r="CG169" s="312"/>
      <c r="CH169" s="312"/>
      <c r="CI169" s="312"/>
      <c r="CJ169" s="312"/>
      <c r="CK169" s="312"/>
      <c r="CL169" s="312"/>
      <c r="CM169" s="312"/>
      <c r="CN169" s="312"/>
      <c r="CO169" s="312"/>
      <c r="CP169" s="312"/>
      <c r="CQ169" s="312"/>
      <c r="CR169" s="312"/>
    </row>
    <row r="170" spans="1:96" s="300" customFormat="1" ht="15.75" customHeight="1">
      <c r="A170" s="313"/>
      <c r="B170" s="305" t="s">
        <v>64</v>
      </c>
      <c r="C170" s="311"/>
      <c r="D170" s="311"/>
      <c r="E170" s="306">
        <f t="shared" si="24"/>
        <v>0</v>
      </c>
      <c r="F170" s="310"/>
      <c r="G170" s="311"/>
      <c r="H170" s="306">
        <f t="shared" si="25"/>
        <v>0</v>
      </c>
      <c r="I170" s="310"/>
      <c r="J170" s="311"/>
      <c r="K170" s="306"/>
      <c r="L170" s="310"/>
      <c r="M170" s="311"/>
      <c r="N170" s="306"/>
      <c r="O170" s="310"/>
      <c r="P170" s="311"/>
      <c r="Q170" s="306"/>
      <c r="R170" s="310"/>
      <c r="S170" s="311"/>
      <c r="T170" s="306"/>
      <c r="U170" s="310"/>
      <c r="V170" s="311"/>
      <c r="W170" s="306"/>
      <c r="X170" s="310"/>
      <c r="Y170" s="311"/>
      <c r="Z170" s="306"/>
      <c r="AA170" s="310"/>
      <c r="AB170" s="311"/>
      <c r="AC170" s="306"/>
      <c r="AD170" s="310"/>
      <c r="AE170" s="311"/>
      <c r="AF170" s="306"/>
      <c r="AG170" s="310"/>
      <c r="AH170" s="311"/>
      <c r="AI170" s="306"/>
      <c r="AJ170" s="310"/>
      <c r="AK170" s="311"/>
      <c r="AL170" s="306"/>
      <c r="AM170" s="310"/>
      <c r="AN170" s="311"/>
      <c r="AO170" s="306"/>
      <c r="AP170" s="310"/>
      <c r="AQ170" s="311"/>
      <c r="AR170" s="306"/>
      <c r="AS170" s="310"/>
      <c r="AT170" s="311"/>
      <c r="AU170" s="306"/>
      <c r="AV170" s="310"/>
      <c r="AW170" s="311"/>
      <c r="AX170" s="306"/>
      <c r="AY170" s="310"/>
      <c r="AZ170" s="311"/>
      <c r="BA170" s="306"/>
      <c r="BB170" s="310"/>
      <c r="BC170" s="311"/>
      <c r="BD170" s="306"/>
      <c r="BE170" s="312"/>
      <c r="BF170" s="312"/>
      <c r="BG170" s="312"/>
      <c r="BH170" s="312"/>
      <c r="BI170" s="312"/>
      <c r="BJ170" s="312"/>
      <c r="BK170" s="312"/>
      <c r="BL170" s="312"/>
      <c r="BM170" s="312"/>
      <c r="BN170" s="312"/>
      <c r="BO170" s="312"/>
      <c r="BP170" s="312"/>
      <c r="BQ170" s="312"/>
      <c r="BR170" s="312"/>
      <c r="BS170" s="312"/>
      <c r="BT170" s="312"/>
      <c r="BU170" s="312"/>
      <c r="BV170" s="312"/>
      <c r="BW170" s="312"/>
      <c r="BX170" s="312"/>
      <c r="BY170" s="312"/>
      <c r="BZ170" s="312"/>
      <c r="CA170" s="312"/>
      <c r="CB170" s="312"/>
      <c r="CC170" s="312"/>
      <c r="CD170" s="312"/>
      <c r="CE170" s="312"/>
      <c r="CF170" s="312"/>
      <c r="CG170" s="312"/>
      <c r="CH170" s="312"/>
      <c r="CI170" s="312"/>
      <c r="CJ170" s="312"/>
      <c r="CK170" s="312"/>
      <c r="CL170" s="312"/>
      <c r="CM170" s="312"/>
      <c r="CN170" s="312"/>
      <c r="CO170" s="312"/>
      <c r="CP170" s="312"/>
      <c r="CQ170" s="312"/>
      <c r="CR170" s="312"/>
    </row>
    <row r="171" spans="1:96" s="300" customFormat="1" ht="15.75" customHeight="1" thickBot="1">
      <c r="A171" s="313"/>
      <c r="B171" s="305" t="s">
        <v>970</v>
      </c>
      <c r="C171" s="311"/>
      <c r="D171" s="311"/>
      <c r="E171" s="306">
        <f t="shared" si="24"/>
        <v>0</v>
      </c>
      <c r="F171" s="310"/>
      <c r="G171" s="311"/>
      <c r="H171" s="306">
        <f t="shared" si="25"/>
        <v>0</v>
      </c>
      <c r="I171" s="310"/>
      <c r="J171" s="311"/>
      <c r="K171" s="306"/>
      <c r="L171" s="310"/>
      <c r="M171" s="311"/>
      <c r="N171" s="306"/>
      <c r="O171" s="310"/>
      <c r="P171" s="311"/>
      <c r="Q171" s="306"/>
      <c r="R171" s="310"/>
      <c r="S171" s="311"/>
      <c r="T171" s="306"/>
      <c r="U171" s="310"/>
      <c r="V171" s="311"/>
      <c r="W171" s="306"/>
      <c r="X171" s="310"/>
      <c r="Y171" s="311"/>
      <c r="Z171" s="306"/>
      <c r="AA171" s="310"/>
      <c r="AB171" s="311"/>
      <c r="AC171" s="306"/>
      <c r="AD171" s="310"/>
      <c r="AE171" s="311"/>
      <c r="AF171" s="306"/>
      <c r="AG171" s="310"/>
      <c r="AH171" s="311"/>
      <c r="AI171" s="306"/>
      <c r="AJ171" s="310"/>
      <c r="AK171" s="311"/>
      <c r="AL171" s="306"/>
      <c r="AM171" s="310"/>
      <c r="AN171" s="311"/>
      <c r="AO171" s="306"/>
      <c r="AP171" s="310"/>
      <c r="AQ171" s="311"/>
      <c r="AR171" s="306"/>
      <c r="AS171" s="310"/>
      <c r="AT171" s="311"/>
      <c r="AU171" s="306"/>
      <c r="AV171" s="310"/>
      <c r="AW171" s="311"/>
      <c r="AX171" s="306"/>
      <c r="AY171" s="310"/>
      <c r="AZ171" s="311"/>
      <c r="BA171" s="306"/>
      <c r="BB171" s="310"/>
      <c r="BC171" s="311"/>
      <c r="BD171" s="306"/>
      <c r="BE171" s="312"/>
      <c r="BF171" s="312"/>
      <c r="BG171" s="312"/>
      <c r="BH171" s="312"/>
      <c r="BI171" s="312"/>
      <c r="BJ171" s="312"/>
      <c r="BK171" s="312"/>
      <c r="BL171" s="312"/>
      <c r="BM171" s="312"/>
      <c r="BN171" s="312"/>
      <c r="BO171" s="312"/>
      <c r="BP171" s="312"/>
      <c r="BQ171" s="312"/>
      <c r="BR171" s="312"/>
      <c r="BS171" s="312"/>
      <c r="BT171" s="312"/>
      <c r="BU171" s="312"/>
      <c r="BV171" s="312"/>
      <c r="BW171" s="312"/>
      <c r="BX171" s="312"/>
      <c r="BY171" s="312"/>
      <c r="BZ171" s="312"/>
      <c r="CA171" s="312"/>
      <c r="CB171" s="312"/>
      <c r="CC171" s="312"/>
      <c r="CD171" s="312"/>
      <c r="CE171" s="312"/>
      <c r="CF171" s="312"/>
      <c r="CG171" s="312"/>
      <c r="CH171" s="312"/>
      <c r="CI171" s="312"/>
      <c r="CJ171" s="312"/>
      <c r="CK171" s="312"/>
      <c r="CL171" s="312"/>
      <c r="CM171" s="312"/>
      <c r="CN171" s="312"/>
      <c r="CO171" s="312"/>
      <c r="CP171" s="312"/>
      <c r="CQ171" s="312"/>
      <c r="CR171" s="312"/>
    </row>
    <row r="172" spans="1:96" s="321" customFormat="1" ht="15.75" customHeight="1">
      <c r="A172" s="314"/>
      <c r="B172" s="315"/>
      <c r="C172" s="317"/>
      <c r="D172" s="317"/>
      <c r="E172" s="318">
        <f t="shared" si="24"/>
        <v>0</v>
      </c>
      <c r="F172" s="316"/>
      <c r="G172" s="317"/>
      <c r="H172" s="318">
        <f t="shared" si="25"/>
        <v>0</v>
      </c>
      <c r="I172" s="316"/>
      <c r="J172" s="317"/>
      <c r="K172" s="318"/>
      <c r="L172" s="316"/>
      <c r="M172" s="317"/>
      <c r="N172" s="318"/>
      <c r="O172" s="316">
        <v>6799</v>
      </c>
      <c r="P172" s="317">
        <v>7264</v>
      </c>
      <c r="Q172" s="318">
        <f>IF(O172&gt;0,(((P172-O172)/O172)*100),0)</f>
        <v>6.839241064862479</v>
      </c>
      <c r="R172" s="316">
        <v>18675.5</v>
      </c>
      <c r="S172" s="317">
        <v>19153</v>
      </c>
      <c r="T172" s="318">
        <f>IF(R172&gt;0,(((S172-R172)/R172)*100),0)</f>
        <v>2.5568257877968463</v>
      </c>
      <c r="U172" s="336">
        <v>6712</v>
      </c>
      <c r="V172" s="337">
        <v>7686</v>
      </c>
      <c r="W172" s="338">
        <f>IF(U172&gt;0,(((V172-U172)/U172)*100),0)</f>
        <v>14.511323003575685</v>
      </c>
      <c r="X172" s="316">
        <v>31977.5</v>
      </c>
      <c r="Y172" s="317">
        <v>32864</v>
      </c>
      <c r="Z172" s="318">
        <f>IF(X172&gt;0,(((Y172-X172)/X172)*100),0)</f>
        <v>2.7722617465405364</v>
      </c>
      <c r="AA172" s="336">
        <v>8750</v>
      </c>
      <c r="AB172" s="337">
        <v>10932</v>
      </c>
      <c r="AC172" s="338">
        <f>IF(AA172&gt;0,(((AB172-AA172)/AA172)*100),0)</f>
        <v>24.93714285714286</v>
      </c>
      <c r="AD172" s="336">
        <v>29482</v>
      </c>
      <c r="AE172" s="337">
        <v>29614</v>
      </c>
      <c r="AF172" s="338">
        <f>IF(AD172&gt;0,(((AE172-AD172)/AD172)*100),0)</f>
        <v>0.44773081880469434</v>
      </c>
      <c r="AG172" s="336">
        <v>7038</v>
      </c>
      <c r="AH172" s="337">
        <v>9421</v>
      </c>
      <c r="AI172" s="338">
        <f>IF(AG172&gt;0,(((AH172-AG172)/AG172)*100),0)</f>
        <v>33.8590508667235</v>
      </c>
      <c r="AJ172" s="336">
        <v>23423</v>
      </c>
      <c r="AK172" s="337">
        <v>25556</v>
      </c>
      <c r="AL172" s="338">
        <f>IF(AJ172&gt;0,(((AK172-AJ172)/AJ172)*100),0)</f>
        <v>9.106433847073388</v>
      </c>
      <c r="AM172" s="317"/>
      <c r="AN172" s="317"/>
      <c r="AO172" s="318"/>
      <c r="AP172" s="316"/>
      <c r="AQ172" s="317"/>
      <c r="AR172" s="318">
        <f>IF(AP172&gt;0,(((AQ172-AP172)/AP172)*100),0)</f>
        <v>0</v>
      </c>
      <c r="AS172" s="316"/>
      <c r="AT172" s="317"/>
      <c r="AU172" s="318"/>
      <c r="AV172" s="316"/>
      <c r="AW172" s="317"/>
      <c r="AX172" s="318"/>
      <c r="AY172" s="316">
        <v>9133</v>
      </c>
      <c r="AZ172" s="317">
        <v>9445</v>
      </c>
      <c r="BA172" s="318">
        <f>IF(AY172&gt;0,(((AZ172-AY172)/AY172)*100),0)</f>
        <v>3.4161830723749045</v>
      </c>
      <c r="BB172" s="316">
        <v>31846</v>
      </c>
      <c r="BC172" s="317">
        <v>32208</v>
      </c>
      <c r="BD172" s="318">
        <f>IF(BB172&gt;0,(((BC172-BB172)/BB172)*100),0)</f>
        <v>1.136720467248634</v>
      </c>
      <c r="BE172" s="320"/>
      <c r="BF172" s="320"/>
      <c r="BG172" s="320"/>
      <c r="BH172" s="320"/>
      <c r="BI172" s="320"/>
      <c r="BJ172" s="320"/>
      <c r="BK172" s="320"/>
      <c r="BL172" s="320"/>
      <c r="BM172" s="320"/>
      <c r="BN172" s="320"/>
      <c r="BO172" s="320"/>
      <c r="BP172" s="320"/>
      <c r="BQ172" s="320"/>
      <c r="BR172" s="320"/>
      <c r="BS172" s="320"/>
      <c r="BT172" s="320"/>
      <c r="BU172" s="320"/>
      <c r="BV172" s="320"/>
      <c r="BW172" s="320"/>
      <c r="BX172" s="320"/>
      <c r="BY172" s="320"/>
      <c r="BZ172" s="320"/>
      <c r="CA172" s="320"/>
      <c r="CB172" s="320"/>
      <c r="CC172" s="320"/>
      <c r="CD172" s="320"/>
      <c r="CE172" s="320"/>
      <c r="CF172" s="320"/>
      <c r="CG172" s="320"/>
      <c r="CH172" s="320"/>
      <c r="CI172" s="320"/>
      <c r="CJ172" s="320"/>
      <c r="CK172" s="320"/>
      <c r="CL172" s="320"/>
      <c r="CM172" s="320"/>
      <c r="CN172" s="320"/>
      <c r="CO172" s="320"/>
      <c r="CP172" s="320"/>
      <c r="CQ172" s="320"/>
      <c r="CR172" s="320"/>
    </row>
    <row r="173" spans="1:96" s="300" customFormat="1" ht="15.75" customHeight="1" thickBot="1">
      <c r="A173" s="304" t="s">
        <v>1034</v>
      </c>
      <c r="B173" s="305" t="s">
        <v>665</v>
      </c>
      <c r="C173" s="311">
        <v>3737.2</v>
      </c>
      <c r="D173" s="311">
        <v>4110</v>
      </c>
      <c r="E173" s="306">
        <f aca="true" t="shared" si="28" ref="E173:E187">IF(C173&gt;0,(((D173-C173)/C173)*100),0)</f>
        <v>9.975382639409188</v>
      </c>
      <c r="F173" s="333">
        <v>9774.7</v>
      </c>
      <c r="G173" s="334">
        <v>11520</v>
      </c>
      <c r="H173" s="335">
        <f t="shared" si="25"/>
        <v>17.855279445916487</v>
      </c>
      <c r="I173" s="310">
        <v>3739.46</v>
      </c>
      <c r="J173" s="311">
        <v>3996</v>
      </c>
      <c r="K173" s="306">
        <f aca="true" t="shared" si="29" ref="K173:K179">IF(I173&gt;0,(((J173-I173)/I173)*100),0)</f>
        <v>6.86034882041792</v>
      </c>
      <c r="L173" s="310">
        <v>10434.86</v>
      </c>
      <c r="M173" s="311">
        <v>11472</v>
      </c>
      <c r="N173" s="306">
        <f aca="true" t="shared" si="30" ref="N173:N179">IF(L173&gt;0,(((M173-L173)/L173)*100),0)</f>
        <v>9.93918461771408</v>
      </c>
      <c r="O173" s="310"/>
      <c r="P173" s="311"/>
      <c r="Q173" s="306"/>
      <c r="R173" s="310"/>
      <c r="S173" s="311"/>
      <c r="T173" s="306"/>
      <c r="U173" s="310"/>
      <c r="V173" s="311"/>
      <c r="W173" s="306"/>
      <c r="X173" s="310"/>
      <c r="Y173" s="311"/>
      <c r="Z173" s="306"/>
      <c r="AA173" s="310"/>
      <c r="AB173" s="311"/>
      <c r="AC173" s="306"/>
      <c r="AD173" s="310"/>
      <c r="AE173" s="311"/>
      <c r="AF173" s="306"/>
      <c r="AG173" s="310"/>
      <c r="AH173" s="311"/>
      <c r="AI173" s="306"/>
      <c r="AJ173" s="310"/>
      <c r="AK173" s="311"/>
      <c r="AL173" s="306"/>
      <c r="AM173" s="310"/>
      <c r="AN173" s="311"/>
      <c r="AO173" s="306"/>
      <c r="AP173" s="310"/>
      <c r="AQ173" s="311"/>
      <c r="AR173" s="306"/>
      <c r="AS173" s="310"/>
      <c r="AT173" s="311"/>
      <c r="AU173" s="306"/>
      <c r="AV173" s="310"/>
      <c r="AW173" s="311"/>
      <c r="AX173" s="306"/>
      <c r="AY173" s="310"/>
      <c r="AZ173" s="311"/>
      <c r="BA173" s="306"/>
      <c r="BB173" s="310"/>
      <c r="BC173" s="311"/>
      <c r="BD173" s="306"/>
      <c r="BE173" s="312"/>
      <c r="BF173" s="312"/>
      <c r="BG173" s="312"/>
      <c r="BH173" s="312"/>
      <c r="BI173" s="312"/>
      <c r="BJ173" s="312"/>
      <c r="BK173" s="312"/>
      <c r="BL173" s="312"/>
      <c r="BM173" s="312"/>
      <c r="BN173" s="312"/>
      <c r="BO173" s="312"/>
      <c r="BP173" s="312"/>
      <c r="BQ173" s="312"/>
      <c r="BR173" s="312"/>
      <c r="BS173" s="312"/>
      <c r="BT173" s="312"/>
      <c r="BU173" s="312"/>
      <c r="BV173" s="312"/>
      <c r="BW173" s="312"/>
      <c r="BX173" s="312"/>
      <c r="BY173" s="312"/>
      <c r="BZ173" s="312"/>
      <c r="CA173" s="312"/>
      <c r="CB173" s="312"/>
      <c r="CC173" s="312"/>
      <c r="CD173" s="312"/>
      <c r="CE173" s="312"/>
      <c r="CF173" s="312"/>
      <c r="CG173" s="312"/>
      <c r="CH173" s="312"/>
      <c r="CI173" s="312"/>
      <c r="CJ173" s="312"/>
      <c r="CK173" s="312"/>
      <c r="CL173" s="312"/>
      <c r="CM173" s="312"/>
      <c r="CN173" s="312"/>
      <c r="CO173" s="312"/>
      <c r="CP173" s="312"/>
      <c r="CQ173" s="312"/>
      <c r="CR173" s="312"/>
    </row>
    <row r="174" spans="1:96" s="300" customFormat="1" ht="15.75" customHeight="1" thickBot="1">
      <c r="A174" s="313"/>
      <c r="B174" s="305" t="s">
        <v>666</v>
      </c>
      <c r="C174" s="311"/>
      <c r="D174" s="311"/>
      <c r="E174" s="306">
        <f t="shared" si="28"/>
        <v>0</v>
      </c>
      <c r="F174" s="310"/>
      <c r="G174" s="311"/>
      <c r="H174" s="306">
        <f t="shared" si="25"/>
        <v>0</v>
      </c>
      <c r="I174" s="310"/>
      <c r="J174" s="311"/>
      <c r="K174" s="306">
        <f t="shared" si="29"/>
        <v>0</v>
      </c>
      <c r="L174" s="310"/>
      <c r="M174" s="311"/>
      <c r="N174" s="306">
        <f t="shared" si="30"/>
        <v>0</v>
      </c>
      <c r="O174" s="310"/>
      <c r="P174" s="311"/>
      <c r="Q174" s="306"/>
      <c r="R174" s="310"/>
      <c r="S174" s="311"/>
      <c r="T174" s="306"/>
      <c r="U174" s="310"/>
      <c r="V174" s="311"/>
      <c r="W174" s="306"/>
      <c r="X174" s="310"/>
      <c r="Y174" s="311"/>
      <c r="Z174" s="306"/>
      <c r="AA174" s="310"/>
      <c r="AB174" s="311"/>
      <c r="AC174" s="306"/>
      <c r="AD174" s="310"/>
      <c r="AE174" s="311"/>
      <c r="AF174" s="306"/>
      <c r="AG174" s="310"/>
      <c r="AH174" s="311"/>
      <c r="AI174" s="306"/>
      <c r="AJ174" s="310"/>
      <c r="AK174" s="311"/>
      <c r="AL174" s="306"/>
      <c r="AM174" s="310"/>
      <c r="AN174" s="311"/>
      <c r="AO174" s="306"/>
      <c r="AP174" s="310"/>
      <c r="AQ174" s="311"/>
      <c r="AR174" s="306"/>
      <c r="AS174" s="310"/>
      <c r="AT174" s="311"/>
      <c r="AU174" s="306"/>
      <c r="AV174" s="310"/>
      <c r="AW174" s="311"/>
      <c r="AX174" s="306"/>
      <c r="AY174" s="310"/>
      <c r="AZ174" s="311"/>
      <c r="BA174" s="306"/>
      <c r="BB174" s="310"/>
      <c r="BC174" s="311"/>
      <c r="BD174" s="306"/>
      <c r="BE174" s="312"/>
      <c r="BF174" s="312"/>
      <c r="BG174" s="312"/>
      <c r="BH174" s="312"/>
      <c r="BI174" s="312"/>
      <c r="BJ174" s="312"/>
      <c r="BK174" s="312"/>
      <c r="BL174" s="312"/>
      <c r="BM174" s="312"/>
      <c r="BN174" s="312"/>
      <c r="BO174" s="312"/>
      <c r="BP174" s="312"/>
      <c r="BQ174" s="312"/>
      <c r="BR174" s="312"/>
      <c r="BS174" s="312"/>
      <c r="BT174" s="312"/>
      <c r="BU174" s="312"/>
      <c r="BV174" s="312"/>
      <c r="BW174" s="312"/>
      <c r="BX174" s="312"/>
      <c r="BY174" s="312"/>
      <c r="BZ174" s="312"/>
      <c r="CA174" s="312"/>
      <c r="CB174" s="312"/>
      <c r="CC174" s="312"/>
      <c r="CD174" s="312"/>
      <c r="CE174" s="312"/>
      <c r="CF174" s="312"/>
      <c r="CG174" s="312"/>
      <c r="CH174" s="312"/>
      <c r="CI174" s="312"/>
      <c r="CJ174" s="312"/>
      <c r="CK174" s="312"/>
      <c r="CL174" s="312"/>
      <c r="CM174" s="312"/>
      <c r="CN174" s="312"/>
      <c r="CO174" s="312"/>
      <c r="CP174" s="312"/>
      <c r="CQ174" s="312"/>
      <c r="CR174" s="312"/>
    </row>
    <row r="175" spans="1:96" s="300" customFormat="1" ht="15.75" customHeight="1" thickBot="1">
      <c r="A175" s="313"/>
      <c r="B175" s="305" t="s">
        <v>667</v>
      </c>
      <c r="C175" s="311">
        <v>2713.5</v>
      </c>
      <c r="D175" s="311">
        <v>3011</v>
      </c>
      <c r="E175" s="306">
        <f t="shared" si="28"/>
        <v>10.963700018426387</v>
      </c>
      <c r="F175" s="307">
        <v>6613.5</v>
      </c>
      <c r="G175" s="308">
        <v>7590</v>
      </c>
      <c r="H175" s="309">
        <f t="shared" si="25"/>
        <v>14.765252891812203</v>
      </c>
      <c r="I175" s="307">
        <v>2668.5</v>
      </c>
      <c r="J175" s="308">
        <v>3072</v>
      </c>
      <c r="K175" s="309">
        <f t="shared" si="29"/>
        <v>15.120854412591346</v>
      </c>
      <c r="L175" s="307">
        <v>6388.8</v>
      </c>
      <c r="M175" s="308">
        <v>7416</v>
      </c>
      <c r="N175" s="309">
        <f t="shared" si="30"/>
        <v>16.07813673929376</v>
      </c>
      <c r="O175" s="310"/>
      <c r="P175" s="311"/>
      <c r="Q175" s="306"/>
      <c r="R175" s="310"/>
      <c r="S175" s="311"/>
      <c r="T175" s="306"/>
      <c r="U175" s="310"/>
      <c r="V175" s="311"/>
      <c r="W175" s="306"/>
      <c r="X175" s="310"/>
      <c r="Y175" s="311"/>
      <c r="Z175" s="306"/>
      <c r="AA175" s="310"/>
      <c r="AB175" s="311"/>
      <c r="AC175" s="306"/>
      <c r="AD175" s="310"/>
      <c r="AE175" s="311"/>
      <c r="AF175" s="306"/>
      <c r="AG175" s="310"/>
      <c r="AH175" s="311"/>
      <c r="AI175" s="306"/>
      <c r="AJ175" s="310"/>
      <c r="AK175" s="311"/>
      <c r="AL175" s="306"/>
      <c r="AM175" s="310"/>
      <c r="AN175" s="311"/>
      <c r="AO175" s="306"/>
      <c r="AP175" s="310"/>
      <c r="AQ175" s="311"/>
      <c r="AR175" s="306"/>
      <c r="AS175" s="310"/>
      <c r="AT175" s="311"/>
      <c r="AU175" s="306"/>
      <c r="AV175" s="310"/>
      <c r="AW175" s="311"/>
      <c r="AX175" s="306"/>
      <c r="AY175" s="310"/>
      <c r="AZ175" s="311"/>
      <c r="BA175" s="306"/>
      <c r="BB175" s="310"/>
      <c r="BC175" s="311"/>
      <c r="BD175" s="306"/>
      <c r="BE175" s="312"/>
      <c r="BF175" s="312"/>
      <c r="BG175" s="312"/>
      <c r="BH175" s="312"/>
      <c r="BI175" s="312"/>
      <c r="BJ175" s="312"/>
      <c r="BK175" s="312"/>
      <c r="BL175" s="312"/>
      <c r="BM175" s="312"/>
      <c r="BN175" s="312"/>
      <c r="BO175" s="312"/>
      <c r="BP175" s="312"/>
      <c r="BQ175" s="312"/>
      <c r="BR175" s="312"/>
      <c r="BS175" s="312"/>
      <c r="BT175" s="312"/>
      <c r="BU175" s="312"/>
      <c r="BV175" s="312"/>
      <c r="BW175" s="312"/>
      <c r="BX175" s="312"/>
      <c r="BY175" s="312"/>
      <c r="BZ175" s="312"/>
      <c r="CA175" s="312"/>
      <c r="CB175" s="312"/>
      <c r="CC175" s="312"/>
      <c r="CD175" s="312"/>
      <c r="CE175" s="312"/>
      <c r="CF175" s="312"/>
      <c r="CG175" s="312"/>
      <c r="CH175" s="312"/>
      <c r="CI175" s="312"/>
      <c r="CJ175" s="312"/>
      <c r="CK175" s="312"/>
      <c r="CL175" s="312"/>
      <c r="CM175" s="312"/>
      <c r="CN175" s="312"/>
      <c r="CO175" s="312"/>
      <c r="CP175" s="312"/>
      <c r="CQ175" s="312"/>
      <c r="CR175" s="312"/>
    </row>
    <row r="176" spans="1:96" s="300" customFormat="1" ht="15.75" customHeight="1">
      <c r="A176" s="313"/>
      <c r="B176" s="305" t="s">
        <v>668</v>
      </c>
      <c r="C176" s="311">
        <v>2700</v>
      </c>
      <c r="D176" s="311">
        <v>3000</v>
      </c>
      <c r="E176" s="306">
        <f t="shared" si="28"/>
        <v>11.11111111111111</v>
      </c>
      <c r="F176" s="310">
        <v>6600</v>
      </c>
      <c r="G176" s="311">
        <v>7350</v>
      </c>
      <c r="H176" s="306">
        <f t="shared" si="25"/>
        <v>11.363636363636363</v>
      </c>
      <c r="I176" s="310">
        <v>2647.2</v>
      </c>
      <c r="J176" s="311">
        <v>2928</v>
      </c>
      <c r="K176" s="306">
        <f t="shared" si="29"/>
        <v>10.607434270172265</v>
      </c>
      <c r="L176" s="310">
        <v>6367.2</v>
      </c>
      <c r="M176" s="311">
        <v>7008</v>
      </c>
      <c r="N176" s="306">
        <f t="shared" si="30"/>
        <v>10.064078401809276</v>
      </c>
      <c r="O176" s="310"/>
      <c r="P176" s="311"/>
      <c r="Q176" s="306"/>
      <c r="R176" s="310"/>
      <c r="S176" s="311"/>
      <c r="T176" s="306"/>
      <c r="U176" s="310"/>
      <c r="V176" s="311"/>
      <c r="W176" s="306"/>
      <c r="X176" s="310"/>
      <c r="Y176" s="311"/>
      <c r="Z176" s="306"/>
      <c r="AA176" s="310"/>
      <c r="AB176" s="311"/>
      <c r="AC176" s="306"/>
      <c r="AD176" s="310"/>
      <c r="AE176" s="311"/>
      <c r="AF176" s="306"/>
      <c r="AG176" s="310"/>
      <c r="AH176" s="311"/>
      <c r="AI176" s="306"/>
      <c r="AJ176" s="310"/>
      <c r="AK176" s="311"/>
      <c r="AL176" s="306"/>
      <c r="AM176" s="310"/>
      <c r="AN176" s="311"/>
      <c r="AO176" s="306"/>
      <c r="AP176" s="310"/>
      <c r="AQ176" s="311"/>
      <c r="AR176" s="306"/>
      <c r="AS176" s="310"/>
      <c r="AT176" s="311"/>
      <c r="AU176" s="306"/>
      <c r="AV176" s="310"/>
      <c r="AW176" s="311"/>
      <c r="AX176" s="306"/>
      <c r="AY176" s="310"/>
      <c r="AZ176" s="311"/>
      <c r="BA176" s="306"/>
      <c r="BB176" s="310"/>
      <c r="BC176" s="311"/>
      <c r="BD176" s="306"/>
      <c r="BE176" s="312"/>
      <c r="BF176" s="312"/>
      <c r="BG176" s="312"/>
      <c r="BH176" s="312"/>
      <c r="BI176" s="312"/>
      <c r="BJ176" s="312"/>
      <c r="BK176" s="312"/>
      <c r="BL176" s="312"/>
      <c r="BM176" s="312"/>
      <c r="BN176" s="312"/>
      <c r="BO176" s="312"/>
      <c r="BP176" s="312"/>
      <c r="BQ176" s="312"/>
      <c r="BR176" s="312"/>
      <c r="BS176" s="312"/>
      <c r="BT176" s="312"/>
      <c r="BU176" s="312"/>
      <c r="BV176" s="312"/>
      <c r="BW176" s="312"/>
      <c r="BX176" s="312"/>
      <c r="BY176" s="312"/>
      <c r="BZ176" s="312"/>
      <c r="CA176" s="312"/>
      <c r="CB176" s="312"/>
      <c r="CC176" s="312"/>
      <c r="CD176" s="312"/>
      <c r="CE176" s="312"/>
      <c r="CF176" s="312"/>
      <c r="CG176" s="312"/>
      <c r="CH176" s="312"/>
      <c r="CI176" s="312"/>
      <c r="CJ176" s="312"/>
      <c r="CK176" s="312"/>
      <c r="CL176" s="312"/>
      <c r="CM176" s="312"/>
      <c r="CN176" s="312"/>
      <c r="CO176" s="312"/>
      <c r="CP176" s="312"/>
      <c r="CQ176" s="312"/>
      <c r="CR176" s="312"/>
    </row>
    <row r="177" spans="1:96" s="300" customFormat="1" ht="15.75" customHeight="1">
      <c r="A177" s="313"/>
      <c r="B177" s="305" t="s">
        <v>669</v>
      </c>
      <c r="C177" s="311">
        <v>2764.5</v>
      </c>
      <c r="D177" s="311">
        <v>3000</v>
      </c>
      <c r="E177" s="306">
        <f t="shared" si="28"/>
        <v>8.518719479110146</v>
      </c>
      <c r="F177" s="310">
        <v>6664.5</v>
      </c>
      <c r="G177" s="311">
        <v>7320</v>
      </c>
      <c r="H177" s="306">
        <f t="shared" si="25"/>
        <v>9.835696601395453</v>
      </c>
      <c r="I177" s="310">
        <v>2698.2</v>
      </c>
      <c r="J177" s="311">
        <v>2928</v>
      </c>
      <c r="K177" s="306">
        <f t="shared" si="29"/>
        <v>8.516788970424734</v>
      </c>
      <c r="L177" s="310">
        <v>6418.2</v>
      </c>
      <c r="M177" s="311">
        <v>7128</v>
      </c>
      <c r="N177" s="306">
        <f t="shared" si="30"/>
        <v>11.059175469757879</v>
      </c>
      <c r="O177" s="310"/>
      <c r="P177" s="311"/>
      <c r="Q177" s="306"/>
      <c r="R177" s="310"/>
      <c r="S177" s="311"/>
      <c r="T177" s="306"/>
      <c r="U177" s="310"/>
      <c r="V177" s="311"/>
      <c r="W177" s="306"/>
      <c r="X177" s="310"/>
      <c r="Y177" s="311"/>
      <c r="Z177" s="306"/>
      <c r="AA177" s="310"/>
      <c r="AB177" s="311"/>
      <c r="AC177" s="306"/>
      <c r="AD177" s="310"/>
      <c r="AE177" s="311"/>
      <c r="AF177" s="306"/>
      <c r="AG177" s="310"/>
      <c r="AH177" s="311"/>
      <c r="AI177" s="306"/>
      <c r="AJ177" s="310"/>
      <c r="AK177" s="311"/>
      <c r="AL177" s="306"/>
      <c r="AM177" s="310"/>
      <c r="AN177" s="311"/>
      <c r="AO177" s="306"/>
      <c r="AP177" s="310"/>
      <c r="AQ177" s="311"/>
      <c r="AR177" s="306"/>
      <c r="AS177" s="310"/>
      <c r="AT177" s="311"/>
      <c r="AU177" s="306"/>
      <c r="AV177" s="310"/>
      <c r="AW177" s="311"/>
      <c r="AX177" s="306"/>
      <c r="AY177" s="310"/>
      <c r="AZ177" s="311"/>
      <c r="BA177" s="306"/>
      <c r="BB177" s="310"/>
      <c r="BC177" s="311"/>
      <c r="BD177" s="306"/>
      <c r="BE177" s="312"/>
      <c r="BF177" s="312"/>
      <c r="BG177" s="312"/>
      <c r="BH177" s="312"/>
      <c r="BI177" s="312"/>
      <c r="BJ177" s="312"/>
      <c r="BK177" s="312"/>
      <c r="BL177" s="312"/>
      <c r="BM177" s="312"/>
      <c r="BN177" s="312"/>
      <c r="BO177" s="312"/>
      <c r="BP177" s="312"/>
      <c r="BQ177" s="312"/>
      <c r="BR177" s="312"/>
      <c r="BS177" s="312"/>
      <c r="BT177" s="312"/>
      <c r="BU177" s="312"/>
      <c r="BV177" s="312"/>
      <c r="BW177" s="312"/>
      <c r="BX177" s="312"/>
      <c r="BY177" s="312"/>
      <c r="BZ177" s="312"/>
      <c r="CA177" s="312"/>
      <c r="CB177" s="312"/>
      <c r="CC177" s="312"/>
      <c r="CD177" s="312"/>
      <c r="CE177" s="312"/>
      <c r="CF177" s="312"/>
      <c r="CG177" s="312"/>
      <c r="CH177" s="312"/>
      <c r="CI177" s="312"/>
      <c r="CJ177" s="312"/>
      <c r="CK177" s="312"/>
      <c r="CL177" s="312"/>
      <c r="CM177" s="312"/>
      <c r="CN177" s="312"/>
      <c r="CO177" s="312"/>
      <c r="CP177" s="312"/>
      <c r="CQ177" s="312"/>
      <c r="CR177" s="312"/>
    </row>
    <row r="178" spans="1:96" s="300" customFormat="1" ht="15.75" customHeight="1">
      <c r="A178" s="313"/>
      <c r="B178" s="305" t="s">
        <v>670</v>
      </c>
      <c r="C178" s="311">
        <v>2762</v>
      </c>
      <c r="D178" s="311">
        <v>3003</v>
      </c>
      <c r="E178" s="306">
        <f t="shared" si="28"/>
        <v>8.725561187545257</v>
      </c>
      <c r="F178" s="310">
        <v>6374</v>
      </c>
      <c r="G178" s="311">
        <v>7080</v>
      </c>
      <c r="H178" s="306">
        <f t="shared" si="25"/>
        <v>11.07624725447129</v>
      </c>
      <c r="I178" s="310">
        <v>2744.6</v>
      </c>
      <c r="J178" s="311">
        <v>2976</v>
      </c>
      <c r="K178" s="306">
        <f t="shared" si="29"/>
        <v>8.431101071194348</v>
      </c>
      <c r="L178" s="310">
        <v>6309.86</v>
      </c>
      <c r="M178" s="311">
        <v>6984</v>
      </c>
      <c r="N178" s="306">
        <f t="shared" si="30"/>
        <v>10.683913747690129</v>
      </c>
      <c r="O178" s="310"/>
      <c r="P178" s="311"/>
      <c r="Q178" s="306"/>
      <c r="R178" s="310"/>
      <c r="S178" s="311"/>
      <c r="T178" s="306"/>
      <c r="U178" s="310"/>
      <c r="V178" s="311"/>
      <c r="W178" s="306"/>
      <c r="X178" s="310"/>
      <c r="Y178" s="311"/>
      <c r="Z178" s="306"/>
      <c r="AA178" s="310"/>
      <c r="AB178" s="311"/>
      <c r="AC178" s="306"/>
      <c r="AD178" s="310"/>
      <c r="AE178" s="311"/>
      <c r="AF178" s="306"/>
      <c r="AG178" s="310"/>
      <c r="AH178" s="311"/>
      <c r="AI178" s="306"/>
      <c r="AJ178" s="310"/>
      <c r="AK178" s="311"/>
      <c r="AL178" s="306"/>
      <c r="AM178" s="310"/>
      <c r="AN178" s="311"/>
      <c r="AO178" s="306"/>
      <c r="AP178" s="310"/>
      <c r="AQ178" s="311"/>
      <c r="AR178" s="306"/>
      <c r="AS178" s="310"/>
      <c r="AT178" s="311"/>
      <c r="AU178" s="306"/>
      <c r="AV178" s="310"/>
      <c r="AW178" s="311"/>
      <c r="AX178" s="306"/>
      <c r="AY178" s="310"/>
      <c r="AZ178" s="311"/>
      <c r="BA178" s="306"/>
      <c r="BB178" s="310"/>
      <c r="BC178" s="311"/>
      <c r="BD178" s="306"/>
      <c r="BE178" s="312"/>
      <c r="BF178" s="312"/>
      <c r="BG178" s="312"/>
      <c r="BH178" s="312"/>
      <c r="BI178" s="312"/>
      <c r="BJ178" s="312"/>
      <c r="BK178" s="312"/>
      <c r="BL178" s="312"/>
      <c r="BM178" s="312"/>
      <c r="BN178" s="312"/>
      <c r="BO178" s="312"/>
      <c r="BP178" s="312"/>
      <c r="BQ178" s="312"/>
      <c r="BR178" s="312"/>
      <c r="BS178" s="312"/>
      <c r="BT178" s="312"/>
      <c r="BU178" s="312"/>
      <c r="BV178" s="312"/>
      <c r="BW178" s="312"/>
      <c r="BX178" s="312"/>
      <c r="BY178" s="312"/>
      <c r="BZ178" s="312"/>
      <c r="CA178" s="312"/>
      <c r="CB178" s="312"/>
      <c r="CC178" s="312"/>
      <c r="CD178" s="312"/>
      <c r="CE178" s="312"/>
      <c r="CF178" s="312"/>
      <c r="CG178" s="312"/>
      <c r="CH178" s="312"/>
      <c r="CI178" s="312"/>
      <c r="CJ178" s="312"/>
      <c r="CK178" s="312"/>
      <c r="CL178" s="312"/>
      <c r="CM178" s="312"/>
      <c r="CN178" s="312"/>
      <c r="CO178" s="312"/>
      <c r="CP178" s="312"/>
      <c r="CQ178" s="312"/>
      <c r="CR178" s="312"/>
    </row>
    <row r="179" spans="1:96" s="300" customFormat="1" ht="15.75" customHeight="1">
      <c r="A179" s="313"/>
      <c r="B179" s="305" t="s">
        <v>1041</v>
      </c>
      <c r="C179" s="311">
        <v>2763.25</v>
      </c>
      <c r="D179" s="311">
        <v>3007</v>
      </c>
      <c r="E179" s="306">
        <f t="shared" si="28"/>
        <v>8.821134533610785</v>
      </c>
      <c r="F179" s="310">
        <v>6647.5</v>
      </c>
      <c r="G179" s="311">
        <v>7380</v>
      </c>
      <c r="H179" s="306">
        <f t="shared" si="25"/>
        <v>11.01918014291087</v>
      </c>
      <c r="I179" s="310">
        <v>2700.3</v>
      </c>
      <c r="J179" s="311">
        <v>2988</v>
      </c>
      <c r="K179" s="306">
        <f t="shared" si="29"/>
        <v>10.654371736473719</v>
      </c>
      <c r="L179" s="310">
        <v>6406</v>
      </c>
      <c r="M179" s="311">
        <v>7128</v>
      </c>
      <c r="N179" s="306">
        <f t="shared" si="30"/>
        <v>11.270683733999377</v>
      </c>
      <c r="O179" s="310"/>
      <c r="P179" s="311"/>
      <c r="Q179" s="306"/>
      <c r="R179" s="310"/>
      <c r="S179" s="311"/>
      <c r="T179" s="306"/>
      <c r="U179" s="310"/>
      <c r="V179" s="311"/>
      <c r="W179" s="306"/>
      <c r="X179" s="310"/>
      <c r="Y179" s="311"/>
      <c r="Z179" s="306"/>
      <c r="AA179" s="310"/>
      <c r="AB179" s="311"/>
      <c r="AC179" s="306"/>
      <c r="AD179" s="310"/>
      <c r="AE179" s="311"/>
      <c r="AF179" s="306"/>
      <c r="AG179" s="310"/>
      <c r="AH179" s="311"/>
      <c r="AI179" s="306"/>
      <c r="AJ179" s="310"/>
      <c r="AK179" s="311"/>
      <c r="AL179" s="306"/>
      <c r="AM179" s="310"/>
      <c r="AN179" s="311"/>
      <c r="AO179" s="306"/>
      <c r="AP179" s="310"/>
      <c r="AQ179" s="311"/>
      <c r="AR179" s="306"/>
      <c r="AS179" s="310"/>
      <c r="AT179" s="311"/>
      <c r="AU179" s="306"/>
      <c r="AV179" s="310"/>
      <c r="AW179" s="311"/>
      <c r="AX179" s="306"/>
      <c r="AY179" s="310"/>
      <c r="AZ179" s="311"/>
      <c r="BA179" s="306"/>
      <c r="BB179" s="310"/>
      <c r="BC179" s="311"/>
      <c r="BD179" s="306"/>
      <c r="BE179" s="312"/>
      <c r="BF179" s="312"/>
      <c r="BG179" s="312"/>
      <c r="BH179" s="312"/>
      <c r="BI179" s="312"/>
      <c r="BJ179" s="312"/>
      <c r="BK179" s="312"/>
      <c r="BL179" s="312"/>
      <c r="BM179" s="312"/>
      <c r="BN179" s="312"/>
      <c r="BO179" s="312"/>
      <c r="BP179" s="312"/>
      <c r="BQ179" s="312"/>
      <c r="BR179" s="312"/>
      <c r="BS179" s="312"/>
      <c r="BT179" s="312"/>
      <c r="BU179" s="312"/>
      <c r="BV179" s="312"/>
      <c r="BW179" s="312"/>
      <c r="BX179" s="312"/>
      <c r="BY179" s="312"/>
      <c r="BZ179" s="312"/>
      <c r="CA179" s="312"/>
      <c r="CB179" s="312"/>
      <c r="CC179" s="312"/>
      <c r="CD179" s="312"/>
      <c r="CE179" s="312"/>
      <c r="CF179" s="312"/>
      <c r="CG179" s="312"/>
      <c r="CH179" s="312"/>
      <c r="CI179" s="312"/>
      <c r="CJ179" s="312"/>
      <c r="CK179" s="312"/>
      <c r="CL179" s="312"/>
      <c r="CM179" s="312"/>
      <c r="CN179" s="312"/>
      <c r="CO179" s="312"/>
      <c r="CP179" s="312"/>
      <c r="CQ179" s="312"/>
      <c r="CR179" s="312"/>
    </row>
    <row r="180" spans="1:96" s="300" customFormat="1" ht="15.75" customHeight="1" thickBot="1">
      <c r="A180" s="313"/>
      <c r="B180" s="305" t="s">
        <v>671</v>
      </c>
      <c r="C180" s="311">
        <v>2701</v>
      </c>
      <c r="D180" s="311">
        <v>3030</v>
      </c>
      <c r="E180" s="306">
        <f t="shared" si="28"/>
        <v>12.18067382450944</v>
      </c>
      <c r="F180" s="310">
        <v>6601</v>
      </c>
      <c r="G180" s="311">
        <v>7230</v>
      </c>
      <c r="H180" s="306">
        <f t="shared" si="25"/>
        <v>9.528859263747917</v>
      </c>
      <c r="I180" s="310">
        <v>0</v>
      </c>
      <c r="J180" s="311">
        <v>0</v>
      </c>
      <c r="K180" s="306"/>
      <c r="L180" s="310">
        <v>0</v>
      </c>
      <c r="M180" s="311">
        <v>0</v>
      </c>
      <c r="N180" s="306"/>
      <c r="O180" s="310"/>
      <c r="P180" s="311"/>
      <c r="Q180" s="306"/>
      <c r="R180" s="310"/>
      <c r="S180" s="311"/>
      <c r="T180" s="306"/>
      <c r="U180" s="310"/>
      <c r="V180" s="311"/>
      <c r="W180" s="306"/>
      <c r="X180" s="310"/>
      <c r="Y180" s="311"/>
      <c r="Z180" s="306"/>
      <c r="AA180" s="310"/>
      <c r="AB180" s="311"/>
      <c r="AC180" s="306"/>
      <c r="AD180" s="310"/>
      <c r="AE180" s="311"/>
      <c r="AF180" s="306"/>
      <c r="AG180" s="310"/>
      <c r="AH180" s="311"/>
      <c r="AI180" s="306"/>
      <c r="AJ180" s="310"/>
      <c r="AK180" s="311"/>
      <c r="AL180" s="306"/>
      <c r="AM180" s="310"/>
      <c r="AN180" s="311"/>
      <c r="AO180" s="306"/>
      <c r="AP180" s="310"/>
      <c r="AQ180" s="311"/>
      <c r="AR180" s="306"/>
      <c r="AS180" s="310"/>
      <c r="AT180" s="311"/>
      <c r="AU180" s="306"/>
      <c r="AV180" s="310"/>
      <c r="AW180" s="311"/>
      <c r="AX180" s="306"/>
      <c r="AY180" s="310"/>
      <c r="AZ180" s="311"/>
      <c r="BA180" s="306"/>
      <c r="BB180" s="310"/>
      <c r="BC180" s="311"/>
      <c r="BD180" s="306"/>
      <c r="BE180" s="312"/>
      <c r="BF180" s="312"/>
      <c r="BG180" s="312"/>
      <c r="BH180" s="312"/>
      <c r="BI180" s="312"/>
      <c r="BJ180" s="312"/>
      <c r="BK180" s="312"/>
      <c r="BL180" s="312"/>
      <c r="BM180" s="312"/>
      <c r="BN180" s="312"/>
      <c r="BO180" s="312"/>
      <c r="BP180" s="312"/>
      <c r="BQ180" s="312"/>
      <c r="BR180" s="312"/>
      <c r="BS180" s="312"/>
      <c r="BT180" s="312"/>
      <c r="BU180" s="312"/>
      <c r="BV180" s="312"/>
      <c r="BW180" s="312"/>
      <c r="BX180" s="312"/>
      <c r="BY180" s="312"/>
      <c r="BZ180" s="312"/>
      <c r="CA180" s="312"/>
      <c r="CB180" s="312"/>
      <c r="CC180" s="312"/>
      <c r="CD180" s="312"/>
      <c r="CE180" s="312"/>
      <c r="CF180" s="312"/>
      <c r="CG180" s="312"/>
      <c r="CH180" s="312"/>
      <c r="CI180" s="312"/>
      <c r="CJ180" s="312"/>
      <c r="CK180" s="312"/>
      <c r="CL180" s="312"/>
      <c r="CM180" s="312"/>
      <c r="CN180" s="312"/>
      <c r="CO180" s="312"/>
      <c r="CP180" s="312"/>
      <c r="CQ180" s="312"/>
      <c r="CR180" s="312"/>
    </row>
    <row r="181" spans="1:96" s="300" customFormat="1" ht="15.75" customHeight="1" thickBot="1">
      <c r="A181" s="313"/>
      <c r="B181" s="305" t="s">
        <v>672</v>
      </c>
      <c r="C181" s="308">
        <v>1800</v>
      </c>
      <c r="D181" s="308">
        <v>2058</v>
      </c>
      <c r="E181" s="309">
        <f t="shared" si="28"/>
        <v>14.333333333333334</v>
      </c>
      <c r="F181" s="307">
        <v>4694.25</v>
      </c>
      <c r="G181" s="308">
        <v>5346</v>
      </c>
      <c r="H181" s="309">
        <f t="shared" si="25"/>
        <v>13.884007029876976</v>
      </c>
      <c r="I181" s="310"/>
      <c r="J181" s="311"/>
      <c r="K181" s="306"/>
      <c r="L181" s="310"/>
      <c r="M181" s="311"/>
      <c r="N181" s="306"/>
      <c r="O181" s="310"/>
      <c r="P181" s="311"/>
      <c r="Q181" s="306"/>
      <c r="R181" s="310"/>
      <c r="S181" s="311"/>
      <c r="T181" s="306"/>
      <c r="U181" s="310"/>
      <c r="V181" s="311"/>
      <c r="W181" s="306"/>
      <c r="X181" s="310"/>
      <c r="Y181" s="311"/>
      <c r="Z181" s="306"/>
      <c r="AA181" s="310"/>
      <c r="AB181" s="311"/>
      <c r="AC181" s="306"/>
      <c r="AD181" s="310"/>
      <c r="AE181" s="311"/>
      <c r="AF181" s="306"/>
      <c r="AG181" s="310"/>
      <c r="AH181" s="311"/>
      <c r="AI181" s="306"/>
      <c r="AJ181" s="310"/>
      <c r="AK181" s="311"/>
      <c r="AL181" s="306"/>
      <c r="AM181" s="310"/>
      <c r="AN181" s="311"/>
      <c r="AO181" s="306"/>
      <c r="AP181" s="310"/>
      <c r="AQ181" s="311"/>
      <c r="AR181" s="306"/>
      <c r="AS181" s="310"/>
      <c r="AT181" s="311"/>
      <c r="AU181" s="306"/>
      <c r="AV181" s="310"/>
      <c r="AW181" s="311"/>
      <c r="AX181" s="306"/>
      <c r="AY181" s="310"/>
      <c r="AZ181" s="311"/>
      <c r="BA181" s="306"/>
      <c r="BB181" s="310"/>
      <c r="BC181" s="311"/>
      <c r="BD181" s="306"/>
      <c r="BE181" s="312"/>
      <c r="BF181" s="312"/>
      <c r="BG181" s="312"/>
      <c r="BH181" s="312"/>
      <c r="BI181" s="312"/>
      <c r="BJ181" s="312"/>
      <c r="BK181" s="312"/>
      <c r="BL181" s="312"/>
      <c r="BM181" s="312"/>
      <c r="BN181" s="312"/>
      <c r="BO181" s="312"/>
      <c r="BP181" s="312"/>
      <c r="BQ181" s="312"/>
      <c r="BR181" s="312"/>
      <c r="BS181" s="312"/>
      <c r="BT181" s="312"/>
      <c r="BU181" s="312"/>
      <c r="BV181" s="312"/>
      <c r="BW181" s="312"/>
      <c r="BX181" s="312"/>
      <c r="BY181" s="312"/>
      <c r="BZ181" s="312"/>
      <c r="CA181" s="312"/>
      <c r="CB181" s="312"/>
      <c r="CC181" s="312"/>
      <c r="CD181" s="312"/>
      <c r="CE181" s="312"/>
      <c r="CF181" s="312"/>
      <c r="CG181" s="312"/>
      <c r="CH181" s="312"/>
      <c r="CI181" s="312"/>
      <c r="CJ181" s="312"/>
      <c r="CK181" s="312"/>
      <c r="CL181" s="312"/>
      <c r="CM181" s="312"/>
      <c r="CN181" s="312"/>
      <c r="CO181" s="312"/>
      <c r="CP181" s="312"/>
      <c r="CQ181" s="312"/>
      <c r="CR181" s="312"/>
    </row>
    <row r="182" spans="1:96" s="300" customFormat="1" ht="15.75" customHeight="1">
      <c r="A182" s="313"/>
      <c r="B182" s="305" t="s">
        <v>673</v>
      </c>
      <c r="C182" s="311">
        <v>1991.5</v>
      </c>
      <c r="D182" s="311">
        <v>2114.5</v>
      </c>
      <c r="E182" s="306">
        <f t="shared" si="28"/>
        <v>6.17624905849862</v>
      </c>
      <c r="F182" s="310">
        <v>4858.75</v>
      </c>
      <c r="G182" s="311">
        <v>5267.5</v>
      </c>
      <c r="H182" s="306">
        <f t="shared" si="25"/>
        <v>8.412657576537175</v>
      </c>
      <c r="I182" s="310"/>
      <c r="J182" s="311"/>
      <c r="K182" s="306"/>
      <c r="L182" s="310"/>
      <c r="M182" s="311"/>
      <c r="N182" s="306"/>
      <c r="O182" s="310"/>
      <c r="P182" s="311"/>
      <c r="Q182" s="306"/>
      <c r="R182" s="310"/>
      <c r="S182" s="311"/>
      <c r="T182" s="306"/>
      <c r="U182" s="310"/>
      <c r="V182" s="311"/>
      <c r="W182" s="306"/>
      <c r="X182" s="310"/>
      <c r="Y182" s="311"/>
      <c r="Z182" s="306"/>
      <c r="AA182" s="310"/>
      <c r="AB182" s="311"/>
      <c r="AC182" s="306"/>
      <c r="AD182" s="310"/>
      <c r="AE182" s="311"/>
      <c r="AF182" s="306"/>
      <c r="AG182" s="310"/>
      <c r="AH182" s="311"/>
      <c r="AI182" s="306"/>
      <c r="AJ182" s="310"/>
      <c r="AK182" s="311"/>
      <c r="AL182" s="306"/>
      <c r="AM182" s="310"/>
      <c r="AN182" s="311"/>
      <c r="AO182" s="306"/>
      <c r="AP182" s="310"/>
      <c r="AQ182" s="311"/>
      <c r="AR182" s="306"/>
      <c r="AS182" s="310"/>
      <c r="AT182" s="311"/>
      <c r="AU182" s="306"/>
      <c r="AV182" s="310"/>
      <c r="AW182" s="311"/>
      <c r="AX182" s="306"/>
      <c r="AY182" s="310"/>
      <c r="AZ182" s="311"/>
      <c r="BA182" s="306"/>
      <c r="BB182" s="310"/>
      <c r="BC182" s="311"/>
      <c r="BD182" s="306"/>
      <c r="BE182" s="312"/>
      <c r="BF182" s="312"/>
      <c r="BG182" s="312"/>
      <c r="BH182" s="312"/>
      <c r="BI182" s="312"/>
      <c r="BJ182" s="312"/>
      <c r="BK182" s="312"/>
      <c r="BL182" s="312"/>
      <c r="BM182" s="312"/>
      <c r="BN182" s="312"/>
      <c r="BO182" s="312"/>
      <c r="BP182" s="312"/>
      <c r="BQ182" s="312"/>
      <c r="BR182" s="312"/>
      <c r="BS182" s="312"/>
      <c r="BT182" s="312"/>
      <c r="BU182" s="312"/>
      <c r="BV182" s="312"/>
      <c r="BW182" s="312"/>
      <c r="BX182" s="312"/>
      <c r="BY182" s="312"/>
      <c r="BZ182" s="312"/>
      <c r="CA182" s="312"/>
      <c r="CB182" s="312"/>
      <c r="CC182" s="312"/>
      <c r="CD182" s="312"/>
      <c r="CE182" s="312"/>
      <c r="CF182" s="312"/>
      <c r="CG182" s="312"/>
      <c r="CH182" s="312"/>
      <c r="CI182" s="312"/>
      <c r="CJ182" s="312"/>
      <c r="CK182" s="312"/>
      <c r="CL182" s="312"/>
      <c r="CM182" s="312"/>
      <c r="CN182" s="312"/>
      <c r="CO182" s="312"/>
      <c r="CP182" s="312"/>
      <c r="CQ182" s="312"/>
      <c r="CR182" s="312"/>
    </row>
    <row r="183" spans="1:96" s="300" customFormat="1" ht="15.75" customHeight="1">
      <c r="A183" s="313"/>
      <c r="B183" s="305" t="s">
        <v>76</v>
      </c>
      <c r="C183" s="311">
        <v>1926.25</v>
      </c>
      <c r="D183" s="311">
        <v>2109</v>
      </c>
      <c r="E183" s="306">
        <f t="shared" si="28"/>
        <v>9.487345879299157</v>
      </c>
      <c r="F183" s="310">
        <v>4533</v>
      </c>
      <c r="G183" s="311">
        <v>4995</v>
      </c>
      <c r="H183" s="306">
        <f t="shared" si="25"/>
        <v>10.191925876902713</v>
      </c>
      <c r="I183" s="310"/>
      <c r="J183" s="311"/>
      <c r="K183" s="306"/>
      <c r="L183" s="310"/>
      <c r="M183" s="311"/>
      <c r="N183" s="306"/>
      <c r="O183" s="310"/>
      <c r="P183" s="311"/>
      <c r="Q183" s="306"/>
      <c r="R183" s="310"/>
      <c r="S183" s="311"/>
      <c r="T183" s="306"/>
      <c r="U183" s="310"/>
      <c r="V183" s="311"/>
      <c r="W183" s="306"/>
      <c r="X183" s="310"/>
      <c r="Y183" s="311"/>
      <c r="Z183" s="306"/>
      <c r="AA183" s="310"/>
      <c r="AB183" s="311"/>
      <c r="AC183" s="306"/>
      <c r="AD183" s="310"/>
      <c r="AE183" s="311"/>
      <c r="AF183" s="306"/>
      <c r="AG183" s="310"/>
      <c r="AH183" s="311"/>
      <c r="AI183" s="306"/>
      <c r="AJ183" s="310"/>
      <c r="AK183" s="311"/>
      <c r="AL183" s="306"/>
      <c r="AM183" s="310"/>
      <c r="AN183" s="311"/>
      <c r="AO183" s="306"/>
      <c r="AP183" s="310"/>
      <c r="AQ183" s="311"/>
      <c r="AR183" s="306"/>
      <c r="AS183" s="310"/>
      <c r="AT183" s="311"/>
      <c r="AU183" s="306"/>
      <c r="AV183" s="310"/>
      <c r="AW183" s="311"/>
      <c r="AX183" s="306"/>
      <c r="AY183" s="310"/>
      <c r="AZ183" s="311"/>
      <c r="BA183" s="306"/>
      <c r="BB183" s="310"/>
      <c r="BC183" s="311"/>
      <c r="BD183" s="306"/>
      <c r="BE183" s="312"/>
      <c r="BF183" s="312"/>
      <c r="BG183" s="312"/>
      <c r="BH183" s="312"/>
      <c r="BI183" s="312"/>
      <c r="BJ183" s="312"/>
      <c r="BK183" s="312"/>
      <c r="BL183" s="312"/>
      <c r="BM183" s="312"/>
      <c r="BN183" s="312"/>
      <c r="BO183" s="312"/>
      <c r="BP183" s="312"/>
      <c r="BQ183" s="312"/>
      <c r="BR183" s="312"/>
      <c r="BS183" s="312"/>
      <c r="BT183" s="312"/>
      <c r="BU183" s="312"/>
      <c r="BV183" s="312"/>
      <c r="BW183" s="312"/>
      <c r="BX183" s="312"/>
      <c r="BY183" s="312"/>
      <c r="BZ183" s="312"/>
      <c r="CA183" s="312"/>
      <c r="CB183" s="312"/>
      <c r="CC183" s="312"/>
      <c r="CD183" s="312"/>
      <c r="CE183" s="312"/>
      <c r="CF183" s="312"/>
      <c r="CG183" s="312"/>
      <c r="CH183" s="312"/>
      <c r="CI183" s="312"/>
      <c r="CJ183" s="312"/>
      <c r="CK183" s="312"/>
      <c r="CL183" s="312"/>
      <c r="CM183" s="312"/>
      <c r="CN183" s="312"/>
      <c r="CO183" s="312"/>
      <c r="CP183" s="312"/>
      <c r="CQ183" s="312"/>
      <c r="CR183" s="312"/>
    </row>
    <row r="184" spans="1:96" s="300" customFormat="1" ht="15.75" customHeight="1">
      <c r="A184" s="313"/>
      <c r="B184" s="305" t="s">
        <v>473</v>
      </c>
      <c r="C184" s="311">
        <v>1922.5</v>
      </c>
      <c r="D184" s="311">
        <v>2109</v>
      </c>
      <c r="E184" s="306">
        <f t="shared" si="28"/>
        <v>9.700910273081925</v>
      </c>
      <c r="F184" s="310">
        <v>4587</v>
      </c>
      <c r="G184" s="311">
        <v>5070</v>
      </c>
      <c r="H184" s="306">
        <f t="shared" si="25"/>
        <v>10.5297580117724</v>
      </c>
      <c r="I184" s="310"/>
      <c r="J184" s="311"/>
      <c r="K184" s="306"/>
      <c r="L184" s="310"/>
      <c r="M184" s="311"/>
      <c r="N184" s="306"/>
      <c r="O184" s="310"/>
      <c r="P184" s="311"/>
      <c r="Q184" s="306"/>
      <c r="R184" s="310"/>
      <c r="S184" s="311"/>
      <c r="T184" s="306"/>
      <c r="U184" s="310"/>
      <c r="V184" s="311"/>
      <c r="W184" s="306"/>
      <c r="X184" s="310"/>
      <c r="Y184" s="311"/>
      <c r="Z184" s="306"/>
      <c r="AA184" s="310"/>
      <c r="AB184" s="311"/>
      <c r="AC184" s="306"/>
      <c r="AD184" s="310"/>
      <c r="AE184" s="311"/>
      <c r="AF184" s="306"/>
      <c r="AG184" s="310"/>
      <c r="AH184" s="311"/>
      <c r="AI184" s="306"/>
      <c r="AJ184" s="310"/>
      <c r="AK184" s="311"/>
      <c r="AL184" s="306"/>
      <c r="AM184" s="310"/>
      <c r="AN184" s="311"/>
      <c r="AO184" s="306"/>
      <c r="AP184" s="310"/>
      <c r="AQ184" s="311"/>
      <c r="AR184" s="306"/>
      <c r="AS184" s="310"/>
      <c r="AT184" s="311"/>
      <c r="AU184" s="306"/>
      <c r="AV184" s="310"/>
      <c r="AW184" s="311"/>
      <c r="AX184" s="306"/>
      <c r="AY184" s="310"/>
      <c r="AZ184" s="311"/>
      <c r="BA184" s="306"/>
      <c r="BB184" s="310"/>
      <c r="BC184" s="311"/>
      <c r="BD184" s="306"/>
      <c r="BE184" s="312"/>
      <c r="BF184" s="312"/>
      <c r="BG184" s="312"/>
      <c r="BH184" s="312"/>
      <c r="BI184" s="312"/>
      <c r="BJ184" s="312"/>
      <c r="BK184" s="312"/>
      <c r="BL184" s="312"/>
      <c r="BM184" s="312"/>
      <c r="BN184" s="312"/>
      <c r="BO184" s="312"/>
      <c r="BP184" s="312"/>
      <c r="BQ184" s="312"/>
      <c r="BR184" s="312"/>
      <c r="BS184" s="312"/>
      <c r="BT184" s="312"/>
      <c r="BU184" s="312"/>
      <c r="BV184" s="312"/>
      <c r="BW184" s="312"/>
      <c r="BX184" s="312"/>
      <c r="BY184" s="312"/>
      <c r="BZ184" s="312"/>
      <c r="CA184" s="312"/>
      <c r="CB184" s="312"/>
      <c r="CC184" s="312"/>
      <c r="CD184" s="312"/>
      <c r="CE184" s="312"/>
      <c r="CF184" s="312"/>
      <c r="CG184" s="312"/>
      <c r="CH184" s="312"/>
      <c r="CI184" s="312"/>
      <c r="CJ184" s="312"/>
      <c r="CK184" s="312"/>
      <c r="CL184" s="312"/>
      <c r="CM184" s="312"/>
      <c r="CN184" s="312"/>
      <c r="CO184" s="312"/>
      <c r="CP184" s="312"/>
      <c r="CQ184" s="312"/>
      <c r="CR184" s="312"/>
    </row>
    <row r="185" spans="1:96" s="300" customFormat="1" ht="15.75" customHeight="1">
      <c r="A185" s="313"/>
      <c r="B185" s="305" t="s">
        <v>77</v>
      </c>
      <c r="C185" s="311"/>
      <c r="D185" s="311"/>
      <c r="E185" s="306">
        <f t="shared" si="28"/>
        <v>0</v>
      </c>
      <c r="F185" s="310"/>
      <c r="G185" s="311"/>
      <c r="H185" s="306"/>
      <c r="I185" s="310"/>
      <c r="J185" s="311"/>
      <c r="K185" s="306"/>
      <c r="L185" s="310"/>
      <c r="M185" s="311"/>
      <c r="N185" s="306"/>
      <c r="O185" s="310"/>
      <c r="P185" s="311"/>
      <c r="Q185" s="306"/>
      <c r="R185" s="310"/>
      <c r="S185" s="311"/>
      <c r="T185" s="306"/>
      <c r="U185" s="310"/>
      <c r="V185" s="311"/>
      <c r="W185" s="306"/>
      <c r="X185" s="310"/>
      <c r="Y185" s="311"/>
      <c r="Z185" s="306"/>
      <c r="AA185" s="310"/>
      <c r="AB185" s="311"/>
      <c r="AC185" s="306"/>
      <c r="AD185" s="310"/>
      <c r="AE185" s="311"/>
      <c r="AF185" s="306"/>
      <c r="AG185" s="310"/>
      <c r="AH185" s="311"/>
      <c r="AI185" s="306"/>
      <c r="AJ185" s="310"/>
      <c r="AK185" s="311"/>
      <c r="AL185" s="306"/>
      <c r="AM185" s="310"/>
      <c r="AN185" s="311"/>
      <c r="AO185" s="306"/>
      <c r="AP185" s="310"/>
      <c r="AQ185" s="311"/>
      <c r="AR185" s="306"/>
      <c r="AS185" s="310"/>
      <c r="AT185" s="311"/>
      <c r="AU185" s="306"/>
      <c r="AV185" s="310"/>
      <c r="AW185" s="311"/>
      <c r="AX185" s="306"/>
      <c r="AY185" s="310"/>
      <c r="AZ185" s="311"/>
      <c r="BA185" s="306"/>
      <c r="BB185" s="310"/>
      <c r="BC185" s="311"/>
      <c r="BD185" s="306"/>
      <c r="BE185" s="312"/>
      <c r="BF185" s="312"/>
      <c r="BG185" s="312"/>
      <c r="BH185" s="312"/>
      <c r="BI185" s="312"/>
      <c r="BJ185" s="312"/>
      <c r="BK185" s="312"/>
      <c r="BL185" s="312"/>
      <c r="BM185" s="312"/>
      <c r="BN185" s="312"/>
      <c r="BO185" s="312"/>
      <c r="BP185" s="312"/>
      <c r="BQ185" s="312"/>
      <c r="BR185" s="312"/>
      <c r="BS185" s="312"/>
      <c r="BT185" s="312"/>
      <c r="BU185" s="312"/>
      <c r="BV185" s="312"/>
      <c r="BW185" s="312"/>
      <c r="BX185" s="312"/>
      <c r="BY185" s="312"/>
      <c r="BZ185" s="312"/>
      <c r="CA185" s="312"/>
      <c r="CB185" s="312"/>
      <c r="CC185" s="312"/>
      <c r="CD185" s="312"/>
      <c r="CE185" s="312"/>
      <c r="CF185" s="312"/>
      <c r="CG185" s="312"/>
      <c r="CH185" s="312"/>
      <c r="CI185" s="312"/>
      <c r="CJ185" s="312"/>
      <c r="CK185" s="312"/>
      <c r="CL185" s="312"/>
      <c r="CM185" s="312"/>
      <c r="CN185" s="312"/>
      <c r="CO185" s="312"/>
      <c r="CP185" s="312"/>
      <c r="CQ185" s="312"/>
      <c r="CR185" s="312"/>
    </row>
    <row r="186" spans="1:96" s="300" customFormat="1" ht="15.75" customHeight="1">
      <c r="A186" s="313"/>
      <c r="B186" s="305" t="s">
        <v>63</v>
      </c>
      <c r="C186" s="311"/>
      <c r="D186" s="311"/>
      <c r="E186" s="306">
        <f t="shared" si="28"/>
        <v>0</v>
      </c>
      <c r="F186" s="310"/>
      <c r="G186" s="311"/>
      <c r="H186" s="306"/>
      <c r="I186" s="310"/>
      <c r="J186" s="311"/>
      <c r="K186" s="306"/>
      <c r="L186" s="310"/>
      <c r="M186" s="311"/>
      <c r="N186" s="306"/>
      <c r="O186" s="310"/>
      <c r="P186" s="311"/>
      <c r="Q186" s="306"/>
      <c r="R186" s="310"/>
      <c r="S186" s="311"/>
      <c r="T186" s="306"/>
      <c r="U186" s="310"/>
      <c r="V186" s="311"/>
      <c r="W186" s="306"/>
      <c r="X186" s="310"/>
      <c r="Y186" s="311"/>
      <c r="Z186" s="306"/>
      <c r="AA186" s="310"/>
      <c r="AB186" s="311"/>
      <c r="AC186" s="306"/>
      <c r="AD186" s="310"/>
      <c r="AE186" s="311"/>
      <c r="AF186" s="306"/>
      <c r="AG186" s="310"/>
      <c r="AH186" s="311"/>
      <c r="AI186" s="306"/>
      <c r="AJ186" s="310"/>
      <c r="AK186" s="311"/>
      <c r="AL186" s="306"/>
      <c r="AM186" s="310"/>
      <c r="AN186" s="311"/>
      <c r="AO186" s="306"/>
      <c r="AP186" s="310"/>
      <c r="AQ186" s="311"/>
      <c r="AR186" s="306"/>
      <c r="AS186" s="310"/>
      <c r="AT186" s="311"/>
      <c r="AU186" s="306"/>
      <c r="AV186" s="310"/>
      <c r="AW186" s="311"/>
      <c r="AX186" s="306"/>
      <c r="AY186" s="310"/>
      <c r="AZ186" s="311"/>
      <c r="BA186" s="306"/>
      <c r="BB186" s="310"/>
      <c r="BC186" s="311"/>
      <c r="BD186" s="306"/>
      <c r="BE186" s="312"/>
      <c r="BF186" s="312"/>
      <c r="BG186" s="312"/>
      <c r="BH186" s="312"/>
      <c r="BI186" s="312"/>
      <c r="BJ186" s="312"/>
      <c r="BK186" s="312"/>
      <c r="BL186" s="312"/>
      <c r="BM186" s="312"/>
      <c r="BN186" s="312"/>
      <c r="BO186" s="312"/>
      <c r="BP186" s="312"/>
      <c r="BQ186" s="312"/>
      <c r="BR186" s="312"/>
      <c r="BS186" s="312"/>
      <c r="BT186" s="312"/>
      <c r="BU186" s="312"/>
      <c r="BV186" s="312"/>
      <c r="BW186" s="312"/>
      <c r="BX186" s="312"/>
      <c r="BY186" s="312"/>
      <c r="BZ186" s="312"/>
      <c r="CA186" s="312"/>
      <c r="CB186" s="312"/>
      <c r="CC186" s="312"/>
      <c r="CD186" s="312"/>
      <c r="CE186" s="312"/>
      <c r="CF186" s="312"/>
      <c r="CG186" s="312"/>
      <c r="CH186" s="312"/>
      <c r="CI186" s="312"/>
      <c r="CJ186" s="312"/>
      <c r="CK186" s="312"/>
      <c r="CL186" s="312"/>
      <c r="CM186" s="312"/>
      <c r="CN186" s="312"/>
      <c r="CO186" s="312"/>
      <c r="CP186" s="312"/>
      <c r="CQ186" s="312"/>
      <c r="CR186" s="312"/>
    </row>
    <row r="187" spans="1:96" s="300" customFormat="1" ht="15.75" customHeight="1">
      <c r="A187" s="313"/>
      <c r="B187" s="305" t="s">
        <v>64</v>
      </c>
      <c r="C187" s="311"/>
      <c r="D187" s="311">
        <v>1312</v>
      </c>
      <c r="E187" s="306">
        <f t="shared" si="28"/>
        <v>0</v>
      </c>
      <c r="F187" s="310"/>
      <c r="G187" s="311">
        <v>2625</v>
      </c>
      <c r="H187" s="306">
        <f>IF(F187&gt;0,(((G187-F187)/F187)*100),0)</f>
        <v>0</v>
      </c>
      <c r="I187" s="310"/>
      <c r="J187" s="311"/>
      <c r="K187" s="306"/>
      <c r="L187" s="310"/>
      <c r="M187" s="311"/>
      <c r="N187" s="306"/>
      <c r="O187" s="310"/>
      <c r="P187" s="311"/>
      <c r="Q187" s="306"/>
      <c r="R187" s="310"/>
      <c r="S187" s="311"/>
      <c r="T187" s="306"/>
      <c r="U187" s="310"/>
      <c r="V187" s="311"/>
      <c r="W187" s="306"/>
      <c r="X187" s="310"/>
      <c r="Y187" s="311"/>
      <c r="Z187" s="306"/>
      <c r="AA187" s="310"/>
      <c r="AB187" s="311"/>
      <c r="AC187" s="306"/>
      <c r="AD187" s="310"/>
      <c r="AE187" s="311"/>
      <c r="AF187" s="306"/>
      <c r="AG187" s="310"/>
      <c r="AH187" s="311"/>
      <c r="AI187" s="306"/>
      <c r="AJ187" s="310"/>
      <c r="AK187" s="311"/>
      <c r="AL187" s="306"/>
      <c r="AM187" s="310"/>
      <c r="AN187" s="311"/>
      <c r="AO187" s="306"/>
      <c r="AP187" s="310"/>
      <c r="AQ187" s="311"/>
      <c r="AR187" s="306"/>
      <c r="AS187" s="310"/>
      <c r="AT187" s="311"/>
      <c r="AU187" s="306"/>
      <c r="AV187" s="310"/>
      <c r="AW187" s="311"/>
      <c r="AX187" s="306"/>
      <c r="AY187" s="310"/>
      <c r="AZ187" s="311"/>
      <c r="BA187" s="306"/>
      <c r="BB187" s="310"/>
      <c r="BC187" s="311"/>
      <c r="BD187" s="306"/>
      <c r="BE187" s="312"/>
      <c r="BF187" s="312"/>
      <c r="BG187" s="312"/>
      <c r="BH187" s="312"/>
      <c r="BI187" s="312"/>
      <c r="BJ187" s="312"/>
      <c r="BK187" s="312"/>
      <c r="BL187" s="312"/>
      <c r="BM187" s="312"/>
      <c r="BN187" s="312"/>
      <c r="BO187" s="312"/>
      <c r="BP187" s="312"/>
      <c r="BQ187" s="312"/>
      <c r="BR187" s="312"/>
      <c r="BS187" s="312"/>
      <c r="BT187" s="312"/>
      <c r="BU187" s="312"/>
      <c r="BV187" s="312"/>
      <c r="BW187" s="312"/>
      <c r="BX187" s="312"/>
      <c r="BY187" s="312"/>
      <c r="BZ187" s="312"/>
      <c r="CA187" s="312"/>
      <c r="CB187" s="312"/>
      <c r="CC187" s="312"/>
      <c r="CD187" s="312"/>
      <c r="CE187" s="312"/>
      <c r="CF187" s="312"/>
      <c r="CG187" s="312"/>
      <c r="CH187" s="312"/>
      <c r="CI187" s="312"/>
      <c r="CJ187" s="312"/>
      <c r="CK187" s="312"/>
      <c r="CL187" s="312"/>
      <c r="CM187" s="312"/>
      <c r="CN187" s="312"/>
      <c r="CO187" s="312"/>
      <c r="CP187" s="312"/>
      <c r="CQ187" s="312"/>
      <c r="CR187" s="312"/>
    </row>
    <row r="188" spans="1:96" s="300" customFormat="1" ht="15.75" customHeight="1" thickBot="1">
      <c r="A188" s="313"/>
      <c r="B188" s="305" t="s">
        <v>970</v>
      </c>
      <c r="C188" s="311"/>
      <c r="D188" s="311">
        <v>1312</v>
      </c>
      <c r="E188" s="306"/>
      <c r="F188" s="310"/>
      <c r="G188" s="311">
        <v>2625</v>
      </c>
      <c r="H188" s="306"/>
      <c r="I188" s="310"/>
      <c r="J188" s="311"/>
      <c r="K188" s="306"/>
      <c r="L188" s="310"/>
      <c r="M188" s="311"/>
      <c r="N188" s="306"/>
      <c r="O188" s="310"/>
      <c r="P188" s="311"/>
      <c r="Q188" s="306"/>
      <c r="R188" s="310"/>
      <c r="S188" s="311"/>
      <c r="T188" s="306"/>
      <c r="U188" s="310"/>
      <c r="V188" s="311"/>
      <c r="W188" s="306"/>
      <c r="X188" s="310"/>
      <c r="Y188" s="311"/>
      <c r="Z188" s="306"/>
      <c r="AA188" s="310"/>
      <c r="AB188" s="311"/>
      <c r="AC188" s="306"/>
      <c r="AD188" s="310"/>
      <c r="AE188" s="311"/>
      <c r="AF188" s="306"/>
      <c r="AG188" s="310"/>
      <c r="AH188" s="311"/>
      <c r="AI188" s="306"/>
      <c r="AJ188" s="310"/>
      <c r="AK188" s="311"/>
      <c r="AL188" s="306"/>
      <c r="AM188" s="310"/>
      <c r="AN188" s="311"/>
      <c r="AO188" s="306"/>
      <c r="AP188" s="310"/>
      <c r="AQ188" s="311"/>
      <c r="AR188" s="306"/>
      <c r="AS188" s="310"/>
      <c r="AT188" s="311"/>
      <c r="AU188" s="306"/>
      <c r="AV188" s="310"/>
      <c r="AW188" s="311"/>
      <c r="AX188" s="306"/>
      <c r="AY188" s="310"/>
      <c r="AZ188" s="311"/>
      <c r="BA188" s="306"/>
      <c r="BB188" s="310"/>
      <c r="BC188" s="311"/>
      <c r="BD188" s="306"/>
      <c r="BE188" s="312"/>
      <c r="BF188" s="312"/>
      <c r="BG188" s="312"/>
      <c r="BH188" s="312"/>
      <c r="BI188" s="312"/>
      <c r="BJ188" s="312"/>
      <c r="BK188" s="312"/>
      <c r="BL188" s="312"/>
      <c r="BM188" s="312"/>
      <c r="BN188" s="312"/>
      <c r="BO188" s="312"/>
      <c r="BP188" s="312"/>
      <c r="BQ188" s="312"/>
      <c r="BR188" s="312"/>
      <c r="BS188" s="312"/>
      <c r="BT188" s="312"/>
      <c r="BU188" s="312"/>
      <c r="BV188" s="312"/>
      <c r="BW188" s="312"/>
      <c r="BX188" s="312"/>
      <c r="BY188" s="312"/>
      <c r="BZ188" s="312"/>
      <c r="CA188" s="312"/>
      <c r="CB188" s="312"/>
      <c r="CC188" s="312"/>
      <c r="CD188" s="312"/>
      <c r="CE188" s="312"/>
      <c r="CF188" s="312"/>
      <c r="CG188" s="312"/>
      <c r="CH188" s="312"/>
      <c r="CI188" s="312"/>
      <c r="CJ188" s="312"/>
      <c r="CK188" s="312"/>
      <c r="CL188" s="312"/>
      <c r="CM188" s="312"/>
      <c r="CN188" s="312"/>
      <c r="CO188" s="312"/>
      <c r="CP188" s="312"/>
      <c r="CQ188" s="312"/>
      <c r="CR188" s="312"/>
    </row>
    <row r="189" spans="1:96" s="321" customFormat="1" ht="15.75" customHeight="1">
      <c r="A189" s="314"/>
      <c r="B189" s="315"/>
      <c r="C189" s="317"/>
      <c r="D189" s="317"/>
      <c r="E189" s="318">
        <f>IF(C189&gt;0,(((D189-C189)/C189)*100),0)</f>
        <v>0</v>
      </c>
      <c r="F189" s="316"/>
      <c r="G189" s="317"/>
      <c r="H189" s="318">
        <f aca="true" t="shared" si="31" ref="H189:H201">IF(F189&gt;0,(((G189-F189)/F189)*100),0)</f>
        <v>0</v>
      </c>
      <c r="I189" s="316"/>
      <c r="J189" s="317"/>
      <c r="K189" s="318"/>
      <c r="L189" s="316"/>
      <c r="M189" s="317"/>
      <c r="N189" s="319"/>
      <c r="O189" s="336">
        <v>7771</v>
      </c>
      <c r="P189" s="337">
        <v>9670</v>
      </c>
      <c r="Q189" s="338">
        <f>IF(O189&gt;0,(((P189-O189)/O189)*100),0)</f>
        <v>24.4370093939004</v>
      </c>
      <c r="R189" s="316">
        <v>17699.5</v>
      </c>
      <c r="S189" s="317">
        <v>19599</v>
      </c>
      <c r="T189" s="318">
        <f>IF(R189&gt;0,(((S189-R189)/R189)*100),0)</f>
        <v>10.731941580270629</v>
      </c>
      <c r="U189" s="316">
        <v>14790.8</v>
      </c>
      <c r="V189" s="317">
        <v>16339</v>
      </c>
      <c r="W189" s="318">
        <f>IF(U189&gt;0,(((V189-U189)/U189)*100),0)</f>
        <v>10.467317521702684</v>
      </c>
      <c r="X189" s="316">
        <v>35167.9</v>
      </c>
      <c r="Y189" s="317">
        <v>37577</v>
      </c>
      <c r="Z189" s="318">
        <f>IF(X189&gt;0,(((Y189-X189)/X189)*100),0)</f>
        <v>6.850281080189601</v>
      </c>
      <c r="AA189" s="316">
        <v>11993.24</v>
      </c>
      <c r="AB189" s="317">
        <v>13455</v>
      </c>
      <c r="AC189" s="318">
        <f>IF(AA189&gt;0,(((AB189-AA189)/AA189)*100),0)</f>
        <v>12.188199352301798</v>
      </c>
      <c r="AD189" s="316">
        <v>30505.26</v>
      </c>
      <c r="AE189" s="317">
        <v>32153</v>
      </c>
      <c r="AF189" s="318">
        <f>IF(AD189&gt;0,(((AE189-AD189)/AD189)*100),0)</f>
        <v>5.401494693046385</v>
      </c>
      <c r="AG189" s="336">
        <v>6846.45</v>
      </c>
      <c r="AH189" s="337">
        <v>8142.5</v>
      </c>
      <c r="AI189" s="338">
        <f>IF(AG189&gt;0,(((AH189-AG189)/AG189)*100),0)</f>
        <v>18.930248522957154</v>
      </c>
      <c r="AJ189" s="316">
        <v>14590.87</v>
      </c>
      <c r="AK189" s="317">
        <v>16721.5</v>
      </c>
      <c r="AL189" s="318">
        <f>IF(AJ189&gt;0,(((AK189-AJ189)/AJ189)*100),0)</f>
        <v>14.602487720060553</v>
      </c>
      <c r="AM189" s="336">
        <v>8012.4</v>
      </c>
      <c r="AN189" s="337">
        <v>9871</v>
      </c>
      <c r="AO189" s="338">
        <f>IF(AM189&gt;0,(((AN189-AM189)/AM189)*100),0)</f>
        <v>23.19654535470022</v>
      </c>
      <c r="AP189" s="316">
        <v>19632.4</v>
      </c>
      <c r="AQ189" s="317">
        <v>21491</v>
      </c>
      <c r="AR189" s="318">
        <f>IF(AP189&gt;0,(((AQ189-AP189)/AP189)*100),0)</f>
        <v>9.46700352478555</v>
      </c>
      <c r="AS189" s="316">
        <v>14199</v>
      </c>
      <c r="AT189" s="317">
        <v>15888</v>
      </c>
      <c r="AU189" s="319">
        <f>IF(AS189&gt;0,(((AT189-AS189)/AS189)*100),0)</f>
        <v>11.895203887597718</v>
      </c>
      <c r="AV189" s="336">
        <v>30581.3</v>
      </c>
      <c r="AW189" s="337">
        <v>30113</v>
      </c>
      <c r="AX189" s="338">
        <f>IF(AV189&gt;0,(((AW189-AV189)/AV189)*100),0)</f>
        <v>-1.5313279683989867</v>
      </c>
      <c r="AY189" s="336">
        <v>9594.65</v>
      </c>
      <c r="AZ189" s="337">
        <v>10674</v>
      </c>
      <c r="BA189" s="338">
        <f>IF(AY189&gt;0,(((AZ189-AY189)/AY189)*100),0)</f>
        <v>11.24949841838942</v>
      </c>
      <c r="BB189" s="316">
        <v>25739.79</v>
      </c>
      <c r="BC189" s="317">
        <v>26820</v>
      </c>
      <c r="BD189" s="318">
        <f>IF(BB189&gt;0,(((BC189-BB189)/BB189)*100),0)</f>
        <v>4.196654285058266</v>
      </c>
      <c r="BE189" s="320"/>
      <c r="BF189" s="320"/>
      <c r="BG189" s="320"/>
      <c r="BH189" s="320"/>
      <c r="BI189" s="320"/>
      <c r="BJ189" s="320"/>
      <c r="BK189" s="320"/>
      <c r="BL189" s="320"/>
      <c r="BM189" s="320"/>
      <c r="BN189" s="320"/>
      <c r="BO189" s="320"/>
      <c r="BP189" s="320"/>
      <c r="BQ189" s="320"/>
      <c r="BR189" s="320"/>
      <c r="BS189" s="320"/>
      <c r="BT189" s="320"/>
      <c r="BU189" s="320"/>
      <c r="BV189" s="320"/>
      <c r="BW189" s="320"/>
      <c r="BX189" s="320"/>
      <c r="BY189" s="320"/>
      <c r="BZ189" s="320"/>
      <c r="CA189" s="320"/>
      <c r="CB189" s="320"/>
      <c r="CC189" s="320"/>
      <c r="CD189" s="320"/>
      <c r="CE189" s="320"/>
      <c r="CF189" s="320"/>
      <c r="CG189" s="320"/>
      <c r="CH189" s="320"/>
      <c r="CI189" s="320"/>
      <c r="CJ189" s="320"/>
      <c r="CK189" s="320"/>
      <c r="CL189" s="320"/>
      <c r="CM189" s="320"/>
      <c r="CN189" s="320"/>
      <c r="CO189" s="320"/>
      <c r="CP189" s="320"/>
      <c r="CQ189" s="320"/>
      <c r="CR189" s="320"/>
    </row>
    <row r="190" spans="1:96" s="300" customFormat="1" ht="15.75" customHeight="1" thickBot="1">
      <c r="A190" s="304" t="s">
        <v>400</v>
      </c>
      <c r="B190" s="305" t="s">
        <v>665</v>
      </c>
      <c r="C190" s="311">
        <v>6356</v>
      </c>
      <c r="D190" s="311">
        <v>7128</v>
      </c>
      <c r="E190" s="306">
        <f aca="true" t="shared" si="32" ref="E190:E201">IF(C190&gt;0,(((D190-C190)/C190)*100),0)</f>
        <v>12.146003775959722</v>
      </c>
      <c r="F190" s="310">
        <v>14824</v>
      </c>
      <c r="G190" s="311">
        <v>16594</v>
      </c>
      <c r="H190" s="306">
        <f t="shared" si="31"/>
        <v>11.940097139773341</v>
      </c>
      <c r="I190" s="333">
        <v>6505</v>
      </c>
      <c r="J190" s="334">
        <v>7663</v>
      </c>
      <c r="K190" s="335">
        <f aca="true" t="shared" si="33" ref="K190:K196">IF(I190&gt;0,(((J190-I190)/I190)*100),0)</f>
        <v>17.801691006917757</v>
      </c>
      <c r="L190" s="310">
        <v>14824</v>
      </c>
      <c r="M190" s="311">
        <v>15792</v>
      </c>
      <c r="N190" s="306">
        <f aca="true" t="shared" si="34" ref="N190:N196">IF(L190&gt;0,(((M190-L190)/L190)*100),0)</f>
        <v>6.52995143011333</v>
      </c>
      <c r="O190" s="310"/>
      <c r="P190" s="311"/>
      <c r="Q190" s="306"/>
      <c r="R190" s="310"/>
      <c r="S190" s="311"/>
      <c r="T190" s="306"/>
      <c r="U190" s="310"/>
      <c r="V190" s="311"/>
      <c r="W190" s="306"/>
      <c r="X190" s="310"/>
      <c r="Y190" s="311"/>
      <c r="Z190" s="306"/>
      <c r="AA190" s="310"/>
      <c r="AB190" s="311"/>
      <c r="AC190" s="306"/>
      <c r="AD190" s="310"/>
      <c r="AE190" s="311"/>
      <c r="AF190" s="306"/>
      <c r="AG190" s="310"/>
      <c r="AH190" s="311"/>
      <c r="AI190" s="306"/>
      <c r="AJ190" s="310"/>
      <c r="AK190" s="311"/>
      <c r="AL190" s="306"/>
      <c r="AM190" s="310"/>
      <c r="AN190" s="311"/>
      <c r="AO190" s="306"/>
      <c r="AP190" s="310"/>
      <c r="AQ190" s="311"/>
      <c r="AR190" s="306"/>
      <c r="AS190" s="310"/>
      <c r="AT190" s="311"/>
      <c r="AU190" s="306"/>
      <c r="AV190" s="310"/>
      <c r="AW190" s="311"/>
      <c r="AX190" s="306"/>
      <c r="AY190" s="310"/>
      <c r="AZ190" s="311"/>
      <c r="BA190" s="306"/>
      <c r="BB190" s="310"/>
      <c r="BC190" s="311"/>
      <c r="BD190" s="306"/>
      <c r="BE190" s="312"/>
      <c r="BF190" s="312"/>
      <c r="BG190" s="312"/>
      <c r="BH190" s="312"/>
      <c r="BI190" s="312"/>
      <c r="BJ190" s="312"/>
      <c r="BK190" s="312"/>
      <c r="BL190" s="312"/>
      <c r="BM190" s="312"/>
      <c r="BN190" s="312"/>
      <c r="BO190" s="312"/>
      <c r="BP190" s="312"/>
      <c r="BQ190" s="312"/>
      <c r="BR190" s="312"/>
      <c r="BS190" s="312"/>
      <c r="BT190" s="312"/>
      <c r="BU190" s="312"/>
      <c r="BV190" s="312"/>
      <c r="BW190" s="312"/>
      <c r="BX190" s="312"/>
      <c r="BY190" s="312"/>
      <c r="BZ190" s="312"/>
      <c r="CA190" s="312"/>
      <c r="CB190" s="312"/>
      <c r="CC190" s="312"/>
      <c r="CD190" s="312"/>
      <c r="CE190" s="312"/>
      <c r="CF190" s="312"/>
      <c r="CG190" s="312"/>
      <c r="CH190" s="312"/>
      <c r="CI190" s="312"/>
      <c r="CJ190" s="312"/>
      <c r="CK190" s="312"/>
      <c r="CL190" s="312"/>
      <c r="CM190" s="312"/>
      <c r="CN190" s="312"/>
      <c r="CO190" s="312"/>
      <c r="CP190" s="312"/>
      <c r="CQ190" s="312"/>
      <c r="CR190" s="312"/>
    </row>
    <row r="191" spans="1:96" s="300" customFormat="1" ht="15.75" customHeight="1" thickBot="1">
      <c r="A191" s="313"/>
      <c r="B191" s="305" t="s">
        <v>666</v>
      </c>
      <c r="C191" s="308">
        <v>6652</v>
      </c>
      <c r="D191" s="308">
        <v>7816</v>
      </c>
      <c r="E191" s="309">
        <f t="shared" si="32"/>
        <v>17.498496692723993</v>
      </c>
      <c r="F191" s="307">
        <v>12258</v>
      </c>
      <c r="G191" s="308">
        <v>14410</v>
      </c>
      <c r="H191" s="309">
        <f t="shared" si="31"/>
        <v>17.55588187306249</v>
      </c>
      <c r="I191" s="307">
        <v>6406</v>
      </c>
      <c r="J191" s="308">
        <v>7528</v>
      </c>
      <c r="K191" s="309">
        <f t="shared" si="33"/>
        <v>17.51482984701842</v>
      </c>
      <c r="L191" s="307">
        <v>11782</v>
      </c>
      <c r="M191" s="308">
        <v>13844</v>
      </c>
      <c r="N191" s="309">
        <f t="shared" si="34"/>
        <v>17.501273128501104</v>
      </c>
      <c r="O191" s="310"/>
      <c r="P191" s="311"/>
      <c r="Q191" s="306"/>
      <c r="R191" s="310"/>
      <c r="S191" s="311"/>
      <c r="T191" s="306"/>
      <c r="U191" s="310"/>
      <c r="V191" s="311"/>
      <c r="W191" s="306"/>
      <c r="X191" s="310"/>
      <c r="Y191" s="311"/>
      <c r="Z191" s="306"/>
      <c r="AA191" s="310"/>
      <c r="AB191" s="311"/>
      <c r="AC191" s="306"/>
      <c r="AD191" s="310"/>
      <c r="AE191" s="311"/>
      <c r="AF191" s="306"/>
      <c r="AG191" s="310"/>
      <c r="AH191" s="311"/>
      <c r="AI191" s="306"/>
      <c r="AJ191" s="310"/>
      <c r="AK191" s="311"/>
      <c r="AL191" s="306"/>
      <c r="AM191" s="310"/>
      <c r="AN191" s="311"/>
      <c r="AO191" s="306"/>
      <c r="AP191" s="310"/>
      <c r="AQ191" s="311"/>
      <c r="AR191" s="306"/>
      <c r="AS191" s="310"/>
      <c r="AT191" s="311"/>
      <c r="AU191" s="306"/>
      <c r="AV191" s="310"/>
      <c r="AW191" s="311"/>
      <c r="AX191" s="306"/>
      <c r="AY191" s="310"/>
      <c r="AZ191" s="311"/>
      <c r="BA191" s="306"/>
      <c r="BB191" s="310"/>
      <c r="BC191" s="311"/>
      <c r="BD191" s="306"/>
      <c r="BE191" s="312"/>
      <c r="BF191" s="312"/>
      <c r="BG191" s="312"/>
      <c r="BH191" s="312"/>
      <c r="BI191" s="312"/>
      <c r="BJ191" s="312"/>
      <c r="BK191" s="312"/>
      <c r="BL191" s="312"/>
      <c r="BM191" s="312"/>
      <c r="BN191" s="312"/>
      <c r="BO191" s="312"/>
      <c r="BP191" s="312"/>
      <c r="BQ191" s="312"/>
      <c r="BR191" s="312"/>
      <c r="BS191" s="312"/>
      <c r="BT191" s="312"/>
      <c r="BU191" s="312"/>
      <c r="BV191" s="312"/>
      <c r="BW191" s="312"/>
      <c r="BX191" s="312"/>
      <c r="BY191" s="312"/>
      <c r="BZ191" s="312"/>
      <c r="CA191" s="312"/>
      <c r="CB191" s="312"/>
      <c r="CC191" s="312"/>
      <c r="CD191" s="312"/>
      <c r="CE191" s="312"/>
      <c r="CF191" s="312"/>
      <c r="CG191" s="312"/>
      <c r="CH191" s="312"/>
      <c r="CI191" s="312"/>
      <c r="CJ191" s="312"/>
      <c r="CK191" s="312"/>
      <c r="CL191" s="312"/>
      <c r="CM191" s="312"/>
      <c r="CN191" s="312"/>
      <c r="CO191" s="312"/>
      <c r="CP191" s="312"/>
      <c r="CQ191" s="312"/>
      <c r="CR191" s="312"/>
    </row>
    <row r="192" spans="1:96" s="300" customFormat="1" ht="15.75" customHeight="1">
      <c r="A192" s="313"/>
      <c r="B192" s="305" t="s">
        <v>667</v>
      </c>
      <c r="C192" s="311">
        <v>5384.5</v>
      </c>
      <c r="D192" s="311">
        <v>6051</v>
      </c>
      <c r="E192" s="306">
        <f t="shared" si="32"/>
        <v>12.378122388336893</v>
      </c>
      <c r="F192" s="310">
        <v>13221</v>
      </c>
      <c r="G192" s="311">
        <v>14329</v>
      </c>
      <c r="H192" s="306">
        <f t="shared" si="31"/>
        <v>8.380606610695105</v>
      </c>
      <c r="I192" s="310">
        <v>5357</v>
      </c>
      <c r="J192" s="311">
        <v>5701</v>
      </c>
      <c r="K192" s="306">
        <f t="shared" si="33"/>
        <v>6.421504573455292</v>
      </c>
      <c r="L192" s="310">
        <v>11112</v>
      </c>
      <c r="M192" s="311">
        <v>11902</v>
      </c>
      <c r="N192" s="306">
        <f t="shared" si="34"/>
        <v>7.109431245500359</v>
      </c>
      <c r="O192" s="310"/>
      <c r="P192" s="311"/>
      <c r="Q192" s="306"/>
      <c r="R192" s="310"/>
      <c r="S192" s="311"/>
      <c r="T192" s="306"/>
      <c r="U192" s="310"/>
      <c r="V192" s="311"/>
      <c r="W192" s="306"/>
      <c r="X192" s="310"/>
      <c r="Y192" s="311"/>
      <c r="Z192" s="306"/>
      <c r="AA192" s="310"/>
      <c r="AB192" s="311"/>
      <c r="AC192" s="306"/>
      <c r="AD192" s="310"/>
      <c r="AE192" s="311"/>
      <c r="AF192" s="306"/>
      <c r="AG192" s="310"/>
      <c r="AH192" s="311"/>
      <c r="AI192" s="306"/>
      <c r="AJ192" s="310"/>
      <c r="AK192" s="311"/>
      <c r="AL192" s="306"/>
      <c r="AM192" s="310"/>
      <c r="AN192" s="311"/>
      <c r="AO192" s="306"/>
      <c r="AP192" s="310"/>
      <c r="AQ192" s="311"/>
      <c r="AR192" s="306"/>
      <c r="AS192" s="310"/>
      <c r="AT192" s="311"/>
      <c r="AU192" s="306"/>
      <c r="AV192" s="310"/>
      <c r="AW192" s="311"/>
      <c r="AX192" s="306"/>
      <c r="AY192" s="310"/>
      <c r="AZ192" s="311"/>
      <c r="BA192" s="306"/>
      <c r="BB192" s="310"/>
      <c r="BC192" s="311"/>
      <c r="BD192" s="306"/>
      <c r="BE192" s="312"/>
      <c r="BF192" s="312"/>
      <c r="BG192" s="312"/>
      <c r="BH192" s="312"/>
      <c r="BI192" s="312"/>
      <c r="BJ192" s="312"/>
      <c r="BK192" s="312"/>
      <c r="BL192" s="312"/>
      <c r="BM192" s="312"/>
      <c r="BN192" s="312"/>
      <c r="BO192" s="312"/>
      <c r="BP192" s="312"/>
      <c r="BQ192" s="312"/>
      <c r="BR192" s="312"/>
      <c r="BS192" s="312"/>
      <c r="BT192" s="312"/>
      <c r="BU192" s="312"/>
      <c r="BV192" s="312"/>
      <c r="BW192" s="312"/>
      <c r="BX192" s="312"/>
      <c r="BY192" s="312"/>
      <c r="BZ192" s="312"/>
      <c r="CA192" s="312"/>
      <c r="CB192" s="312"/>
      <c r="CC192" s="312"/>
      <c r="CD192" s="312"/>
      <c r="CE192" s="312"/>
      <c r="CF192" s="312"/>
      <c r="CG192" s="312"/>
      <c r="CH192" s="312"/>
      <c r="CI192" s="312"/>
      <c r="CJ192" s="312"/>
      <c r="CK192" s="312"/>
      <c r="CL192" s="312"/>
      <c r="CM192" s="312"/>
      <c r="CN192" s="312"/>
      <c r="CO192" s="312"/>
      <c r="CP192" s="312"/>
      <c r="CQ192" s="312"/>
      <c r="CR192" s="312"/>
    </row>
    <row r="193" spans="1:96" s="300" customFormat="1" ht="15.75" customHeight="1" thickBot="1">
      <c r="A193" s="313"/>
      <c r="B193" s="305" t="s">
        <v>668</v>
      </c>
      <c r="C193" s="311">
        <v>5384.5</v>
      </c>
      <c r="D193" s="311">
        <v>6051</v>
      </c>
      <c r="E193" s="306">
        <f t="shared" si="32"/>
        <v>12.378122388336893</v>
      </c>
      <c r="F193" s="310">
        <v>13221</v>
      </c>
      <c r="G193" s="311">
        <v>14329</v>
      </c>
      <c r="H193" s="306">
        <f t="shared" si="31"/>
        <v>8.380606610695105</v>
      </c>
      <c r="I193" s="310">
        <v>5357</v>
      </c>
      <c r="J193" s="311">
        <v>5701</v>
      </c>
      <c r="K193" s="306">
        <f t="shared" si="33"/>
        <v>6.421504573455292</v>
      </c>
      <c r="L193" s="310">
        <v>11112</v>
      </c>
      <c r="M193" s="311">
        <v>11902</v>
      </c>
      <c r="N193" s="306">
        <f t="shared" si="34"/>
        <v>7.109431245500359</v>
      </c>
      <c r="O193" s="310"/>
      <c r="P193" s="311"/>
      <c r="Q193" s="306"/>
      <c r="R193" s="310"/>
      <c r="S193" s="311"/>
      <c r="T193" s="306"/>
      <c r="U193" s="310"/>
      <c r="V193" s="311"/>
      <c r="W193" s="306"/>
      <c r="X193" s="310"/>
      <c r="Y193" s="311"/>
      <c r="Z193" s="306"/>
      <c r="AA193" s="310"/>
      <c r="AB193" s="311"/>
      <c r="AC193" s="306"/>
      <c r="AD193" s="310"/>
      <c r="AE193" s="311"/>
      <c r="AF193" s="306"/>
      <c r="AG193" s="310"/>
      <c r="AH193" s="311"/>
      <c r="AI193" s="306"/>
      <c r="AJ193" s="310"/>
      <c r="AK193" s="311"/>
      <c r="AL193" s="306"/>
      <c r="AM193" s="310"/>
      <c r="AN193" s="311"/>
      <c r="AO193" s="306"/>
      <c r="AP193" s="310"/>
      <c r="AQ193" s="311"/>
      <c r="AR193" s="306"/>
      <c r="AS193" s="310"/>
      <c r="AT193" s="311"/>
      <c r="AU193" s="306"/>
      <c r="AV193" s="310"/>
      <c r="AW193" s="311"/>
      <c r="AX193" s="306"/>
      <c r="AY193" s="310"/>
      <c r="AZ193" s="311"/>
      <c r="BA193" s="306"/>
      <c r="BB193" s="310"/>
      <c r="BC193" s="311"/>
      <c r="BD193" s="306"/>
      <c r="BE193" s="312"/>
      <c r="BF193" s="312"/>
      <c r="BG193" s="312"/>
      <c r="BH193" s="312"/>
      <c r="BI193" s="312"/>
      <c r="BJ193" s="312"/>
      <c r="BK193" s="312"/>
      <c r="BL193" s="312"/>
      <c r="BM193" s="312"/>
      <c r="BN193" s="312"/>
      <c r="BO193" s="312"/>
      <c r="BP193" s="312"/>
      <c r="BQ193" s="312"/>
      <c r="BR193" s="312"/>
      <c r="BS193" s="312"/>
      <c r="BT193" s="312"/>
      <c r="BU193" s="312"/>
      <c r="BV193" s="312"/>
      <c r="BW193" s="312"/>
      <c r="BX193" s="312"/>
      <c r="BY193" s="312"/>
      <c r="BZ193" s="312"/>
      <c r="CA193" s="312"/>
      <c r="CB193" s="312"/>
      <c r="CC193" s="312"/>
      <c r="CD193" s="312"/>
      <c r="CE193" s="312"/>
      <c r="CF193" s="312"/>
      <c r="CG193" s="312"/>
      <c r="CH193" s="312"/>
      <c r="CI193" s="312"/>
      <c r="CJ193" s="312"/>
      <c r="CK193" s="312"/>
      <c r="CL193" s="312"/>
      <c r="CM193" s="312"/>
      <c r="CN193" s="312"/>
      <c r="CO193" s="312"/>
      <c r="CP193" s="312"/>
      <c r="CQ193" s="312"/>
      <c r="CR193" s="312"/>
    </row>
    <row r="194" spans="1:96" s="300" customFormat="1" ht="15.75" customHeight="1" thickBot="1">
      <c r="A194" s="313"/>
      <c r="B194" s="305" t="s">
        <v>669</v>
      </c>
      <c r="C194" s="311">
        <v>5400</v>
      </c>
      <c r="D194" s="311">
        <v>5866</v>
      </c>
      <c r="E194" s="306">
        <f t="shared" si="32"/>
        <v>8.62962962962963</v>
      </c>
      <c r="F194" s="310">
        <v>10850</v>
      </c>
      <c r="G194" s="311">
        <v>12034</v>
      </c>
      <c r="H194" s="306">
        <f t="shared" si="31"/>
        <v>10.912442396313365</v>
      </c>
      <c r="I194" s="310">
        <v>5570</v>
      </c>
      <c r="J194" s="311">
        <v>6170</v>
      </c>
      <c r="K194" s="306">
        <f t="shared" si="33"/>
        <v>10.771992818671453</v>
      </c>
      <c r="L194" s="307">
        <v>10850</v>
      </c>
      <c r="M194" s="308">
        <v>12978</v>
      </c>
      <c r="N194" s="309">
        <f t="shared" si="34"/>
        <v>19.612903225806452</v>
      </c>
      <c r="O194" s="310"/>
      <c r="P194" s="311"/>
      <c r="Q194" s="306"/>
      <c r="R194" s="310"/>
      <c r="S194" s="311"/>
      <c r="T194" s="306"/>
      <c r="U194" s="310"/>
      <c r="V194" s="311"/>
      <c r="W194" s="306"/>
      <c r="X194" s="310"/>
      <c r="Y194" s="311"/>
      <c r="Z194" s="306"/>
      <c r="AA194" s="310"/>
      <c r="AB194" s="311"/>
      <c r="AC194" s="306"/>
      <c r="AD194" s="310"/>
      <c r="AE194" s="311"/>
      <c r="AF194" s="306"/>
      <c r="AG194" s="310"/>
      <c r="AH194" s="311"/>
      <c r="AI194" s="306"/>
      <c r="AJ194" s="310"/>
      <c r="AK194" s="311"/>
      <c r="AL194" s="306"/>
      <c r="AM194" s="310"/>
      <c r="AN194" s="311"/>
      <c r="AO194" s="306"/>
      <c r="AP194" s="310"/>
      <c r="AQ194" s="311"/>
      <c r="AR194" s="306"/>
      <c r="AS194" s="310"/>
      <c r="AT194" s="311"/>
      <c r="AU194" s="306"/>
      <c r="AV194" s="310"/>
      <c r="AW194" s="311"/>
      <c r="AX194" s="306"/>
      <c r="AY194" s="310"/>
      <c r="AZ194" s="311"/>
      <c r="BA194" s="306"/>
      <c r="BB194" s="310"/>
      <c r="BC194" s="311"/>
      <c r="BD194" s="306"/>
      <c r="BE194" s="312"/>
      <c r="BF194" s="312"/>
      <c r="BG194" s="312"/>
      <c r="BH194" s="312"/>
      <c r="BI194" s="312"/>
      <c r="BJ194" s="312"/>
      <c r="BK194" s="312"/>
      <c r="BL194" s="312"/>
      <c r="BM194" s="312"/>
      <c r="BN194" s="312"/>
      <c r="BO194" s="312"/>
      <c r="BP194" s="312"/>
      <c r="BQ194" s="312"/>
      <c r="BR194" s="312"/>
      <c r="BS194" s="312"/>
      <c r="BT194" s="312"/>
      <c r="BU194" s="312"/>
      <c r="BV194" s="312"/>
      <c r="BW194" s="312"/>
      <c r="BX194" s="312"/>
      <c r="BY194" s="312"/>
      <c r="BZ194" s="312"/>
      <c r="CA194" s="312"/>
      <c r="CB194" s="312"/>
      <c r="CC194" s="312"/>
      <c r="CD194" s="312"/>
      <c r="CE194" s="312"/>
      <c r="CF194" s="312"/>
      <c r="CG194" s="312"/>
      <c r="CH194" s="312"/>
      <c r="CI194" s="312"/>
      <c r="CJ194" s="312"/>
      <c r="CK194" s="312"/>
      <c r="CL194" s="312"/>
      <c r="CM194" s="312"/>
      <c r="CN194" s="312"/>
      <c r="CO194" s="312"/>
      <c r="CP194" s="312"/>
      <c r="CQ194" s="312"/>
      <c r="CR194" s="312"/>
    </row>
    <row r="195" spans="1:96" s="300" customFormat="1" ht="15.75" customHeight="1" thickBot="1">
      <c r="A195" s="313"/>
      <c r="B195" s="305" t="s">
        <v>670</v>
      </c>
      <c r="C195" s="308">
        <v>5190</v>
      </c>
      <c r="D195" s="308">
        <v>6060</v>
      </c>
      <c r="E195" s="309">
        <f t="shared" si="32"/>
        <v>16.76300578034682</v>
      </c>
      <c r="F195" s="310">
        <v>11086</v>
      </c>
      <c r="G195" s="311">
        <v>12304</v>
      </c>
      <c r="H195" s="306">
        <f t="shared" si="31"/>
        <v>10.986830236334114</v>
      </c>
      <c r="I195" s="307">
        <v>5778</v>
      </c>
      <c r="J195" s="308">
        <v>7150</v>
      </c>
      <c r="K195" s="309">
        <f t="shared" si="33"/>
        <v>23.745240567670475</v>
      </c>
      <c r="L195" s="310">
        <v>15116</v>
      </c>
      <c r="M195" s="311">
        <v>15180</v>
      </c>
      <c r="N195" s="306">
        <f t="shared" si="34"/>
        <v>0.42339243186028047</v>
      </c>
      <c r="O195" s="310"/>
      <c r="P195" s="311"/>
      <c r="Q195" s="306"/>
      <c r="R195" s="310"/>
      <c r="S195" s="311"/>
      <c r="T195" s="306"/>
      <c r="U195" s="310"/>
      <c r="V195" s="311"/>
      <c r="W195" s="306"/>
      <c r="X195" s="310"/>
      <c r="Y195" s="311"/>
      <c r="Z195" s="306"/>
      <c r="AA195" s="310"/>
      <c r="AB195" s="311"/>
      <c r="AC195" s="306"/>
      <c r="AD195" s="310"/>
      <c r="AE195" s="311"/>
      <c r="AF195" s="306"/>
      <c r="AG195" s="310"/>
      <c r="AH195" s="311"/>
      <c r="AI195" s="306"/>
      <c r="AJ195" s="310"/>
      <c r="AK195" s="311"/>
      <c r="AL195" s="306"/>
      <c r="AM195" s="310"/>
      <c r="AN195" s="311"/>
      <c r="AO195" s="306"/>
      <c r="AP195" s="310"/>
      <c r="AQ195" s="311"/>
      <c r="AR195" s="306"/>
      <c r="AS195" s="310"/>
      <c r="AT195" s="311"/>
      <c r="AU195" s="306"/>
      <c r="AV195" s="310"/>
      <c r="AW195" s="311"/>
      <c r="AX195" s="306"/>
      <c r="AY195" s="310"/>
      <c r="AZ195" s="311"/>
      <c r="BA195" s="306"/>
      <c r="BB195" s="310"/>
      <c r="BC195" s="311"/>
      <c r="BD195" s="306"/>
      <c r="BE195" s="312"/>
      <c r="BF195" s="312"/>
      <c r="BG195" s="312"/>
      <c r="BH195" s="312"/>
      <c r="BI195" s="312"/>
      <c r="BJ195" s="312"/>
      <c r="BK195" s="312"/>
      <c r="BL195" s="312"/>
      <c r="BM195" s="312"/>
      <c r="BN195" s="312"/>
      <c r="BO195" s="312"/>
      <c r="BP195" s="312"/>
      <c r="BQ195" s="312"/>
      <c r="BR195" s="312"/>
      <c r="BS195" s="312"/>
      <c r="BT195" s="312"/>
      <c r="BU195" s="312"/>
      <c r="BV195" s="312"/>
      <c r="BW195" s="312"/>
      <c r="BX195" s="312"/>
      <c r="BY195" s="312"/>
      <c r="BZ195" s="312"/>
      <c r="CA195" s="312"/>
      <c r="CB195" s="312"/>
      <c r="CC195" s="312"/>
      <c r="CD195" s="312"/>
      <c r="CE195" s="312"/>
      <c r="CF195" s="312"/>
      <c r="CG195" s="312"/>
      <c r="CH195" s="312"/>
      <c r="CI195" s="312"/>
      <c r="CJ195" s="312"/>
      <c r="CK195" s="312"/>
      <c r="CL195" s="312"/>
      <c r="CM195" s="312"/>
      <c r="CN195" s="312"/>
      <c r="CO195" s="312"/>
      <c r="CP195" s="312"/>
      <c r="CQ195" s="312"/>
      <c r="CR195" s="312"/>
    </row>
    <row r="196" spans="1:96" s="300" customFormat="1" ht="15.75" customHeight="1" thickBot="1">
      <c r="A196" s="313"/>
      <c r="B196" s="305" t="s">
        <v>1041</v>
      </c>
      <c r="C196" s="311">
        <v>5460</v>
      </c>
      <c r="D196" s="311">
        <v>6100</v>
      </c>
      <c r="E196" s="306">
        <f t="shared" si="32"/>
        <v>11.72161172161172</v>
      </c>
      <c r="F196" s="307">
        <v>12258</v>
      </c>
      <c r="G196" s="308">
        <v>14140</v>
      </c>
      <c r="H196" s="309">
        <f t="shared" si="31"/>
        <v>15.353238701256322</v>
      </c>
      <c r="I196" s="310">
        <v>5778</v>
      </c>
      <c r="J196" s="311">
        <v>6418</v>
      </c>
      <c r="K196" s="306">
        <f t="shared" si="33"/>
        <v>11.076497057805469</v>
      </c>
      <c r="L196" s="310">
        <v>12250</v>
      </c>
      <c r="M196" s="311">
        <v>13844</v>
      </c>
      <c r="N196" s="306">
        <f t="shared" si="34"/>
        <v>13.012244897959183</v>
      </c>
      <c r="O196" s="310"/>
      <c r="P196" s="311"/>
      <c r="Q196" s="306"/>
      <c r="R196" s="310"/>
      <c r="S196" s="311"/>
      <c r="T196" s="306"/>
      <c r="U196" s="310"/>
      <c r="V196" s="311"/>
      <c r="W196" s="306"/>
      <c r="X196" s="310"/>
      <c r="Y196" s="311"/>
      <c r="Z196" s="306"/>
      <c r="AA196" s="310"/>
      <c r="AB196" s="311"/>
      <c r="AC196" s="306"/>
      <c r="AD196" s="310"/>
      <c r="AE196" s="311"/>
      <c r="AF196" s="306"/>
      <c r="AG196" s="310"/>
      <c r="AH196" s="311"/>
      <c r="AI196" s="306"/>
      <c r="AJ196" s="310"/>
      <c r="AK196" s="311"/>
      <c r="AL196" s="306"/>
      <c r="AM196" s="310"/>
      <c r="AN196" s="311"/>
      <c r="AO196" s="306"/>
      <c r="AP196" s="310"/>
      <c r="AQ196" s="311"/>
      <c r="AR196" s="306"/>
      <c r="AS196" s="310"/>
      <c r="AT196" s="311"/>
      <c r="AU196" s="306"/>
      <c r="AV196" s="310"/>
      <c r="AW196" s="311"/>
      <c r="AX196" s="306"/>
      <c r="AY196" s="310"/>
      <c r="AZ196" s="311"/>
      <c r="BA196" s="306"/>
      <c r="BB196" s="310"/>
      <c r="BC196" s="311"/>
      <c r="BD196" s="306"/>
      <c r="BE196" s="312"/>
      <c r="BF196" s="312"/>
      <c r="BG196" s="312"/>
      <c r="BH196" s="312"/>
      <c r="BI196" s="312"/>
      <c r="BJ196" s="312"/>
      <c r="BK196" s="312"/>
      <c r="BL196" s="312"/>
      <c r="BM196" s="312"/>
      <c r="BN196" s="312"/>
      <c r="BO196" s="312"/>
      <c r="BP196" s="312"/>
      <c r="BQ196" s="312"/>
      <c r="BR196" s="312"/>
      <c r="BS196" s="312"/>
      <c r="BT196" s="312"/>
      <c r="BU196" s="312"/>
      <c r="BV196" s="312"/>
      <c r="BW196" s="312"/>
      <c r="BX196" s="312"/>
      <c r="BY196" s="312"/>
      <c r="BZ196" s="312"/>
      <c r="CA196" s="312"/>
      <c r="CB196" s="312"/>
      <c r="CC196" s="312"/>
      <c r="CD196" s="312"/>
      <c r="CE196" s="312"/>
      <c r="CF196" s="312"/>
      <c r="CG196" s="312"/>
      <c r="CH196" s="312"/>
      <c r="CI196" s="312"/>
      <c r="CJ196" s="312"/>
      <c r="CK196" s="312"/>
      <c r="CL196" s="312"/>
      <c r="CM196" s="312"/>
      <c r="CN196" s="312"/>
      <c r="CO196" s="312"/>
      <c r="CP196" s="312"/>
      <c r="CQ196" s="312"/>
      <c r="CR196" s="312"/>
    </row>
    <row r="197" spans="1:96" s="300" customFormat="1" ht="15.75" customHeight="1">
      <c r="A197" s="313"/>
      <c r="B197" s="305" t="s">
        <v>671</v>
      </c>
      <c r="C197" s="311"/>
      <c r="D197" s="311"/>
      <c r="E197" s="306">
        <f t="shared" si="32"/>
        <v>0</v>
      </c>
      <c r="F197" s="310"/>
      <c r="G197" s="311"/>
      <c r="H197" s="306">
        <f t="shared" si="31"/>
        <v>0</v>
      </c>
      <c r="I197" s="310"/>
      <c r="J197" s="311"/>
      <c r="K197" s="306"/>
      <c r="L197" s="310"/>
      <c r="M197" s="311"/>
      <c r="N197" s="306"/>
      <c r="O197" s="310"/>
      <c r="P197" s="311"/>
      <c r="Q197" s="306"/>
      <c r="R197" s="310"/>
      <c r="S197" s="311"/>
      <c r="T197" s="306"/>
      <c r="U197" s="310"/>
      <c r="V197" s="311"/>
      <c r="W197" s="306"/>
      <c r="X197" s="310"/>
      <c r="Y197" s="311"/>
      <c r="Z197" s="306"/>
      <c r="AA197" s="310"/>
      <c r="AB197" s="311"/>
      <c r="AC197" s="306"/>
      <c r="AD197" s="310"/>
      <c r="AE197" s="311"/>
      <c r="AF197" s="306"/>
      <c r="AG197" s="310"/>
      <c r="AH197" s="311"/>
      <c r="AI197" s="306"/>
      <c r="AJ197" s="310"/>
      <c r="AK197" s="311"/>
      <c r="AL197" s="306"/>
      <c r="AM197" s="310"/>
      <c r="AN197" s="311"/>
      <c r="AO197" s="306"/>
      <c r="AP197" s="310"/>
      <c r="AQ197" s="311"/>
      <c r="AR197" s="306"/>
      <c r="AS197" s="310"/>
      <c r="AT197" s="311"/>
      <c r="AU197" s="306"/>
      <c r="AV197" s="310"/>
      <c r="AW197" s="311"/>
      <c r="AX197" s="306"/>
      <c r="AY197" s="310"/>
      <c r="AZ197" s="311"/>
      <c r="BA197" s="306"/>
      <c r="BB197" s="310"/>
      <c r="BC197" s="311"/>
      <c r="BD197" s="306"/>
      <c r="BE197" s="312"/>
      <c r="BF197" s="312"/>
      <c r="BG197" s="312"/>
      <c r="BH197" s="312"/>
      <c r="BI197" s="312"/>
      <c r="BJ197" s="312"/>
      <c r="BK197" s="312"/>
      <c r="BL197" s="312"/>
      <c r="BM197" s="312"/>
      <c r="BN197" s="312"/>
      <c r="BO197" s="312"/>
      <c r="BP197" s="312"/>
      <c r="BQ197" s="312"/>
      <c r="BR197" s="312"/>
      <c r="BS197" s="312"/>
      <c r="BT197" s="312"/>
      <c r="BU197" s="312"/>
      <c r="BV197" s="312"/>
      <c r="BW197" s="312"/>
      <c r="BX197" s="312"/>
      <c r="BY197" s="312"/>
      <c r="BZ197" s="312"/>
      <c r="CA197" s="312"/>
      <c r="CB197" s="312"/>
      <c r="CC197" s="312"/>
      <c r="CD197" s="312"/>
      <c r="CE197" s="312"/>
      <c r="CF197" s="312"/>
      <c r="CG197" s="312"/>
      <c r="CH197" s="312"/>
      <c r="CI197" s="312"/>
      <c r="CJ197" s="312"/>
      <c r="CK197" s="312"/>
      <c r="CL197" s="312"/>
      <c r="CM197" s="312"/>
      <c r="CN197" s="312"/>
      <c r="CO197" s="312"/>
      <c r="CP197" s="312"/>
      <c r="CQ197" s="312"/>
      <c r="CR197" s="312"/>
    </row>
    <row r="198" spans="1:96" s="300" customFormat="1" ht="15.75" customHeight="1">
      <c r="A198" s="313"/>
      <c r="B198" s="305" t="s">
        <v>672</v>
      </c>
      <c r="C198" s="311">
        <v>2600</v>
      </c>
      <c r="D198" s="311">
        <v>2900</v>
      </c>
      <c r="E198" s="306">
        <f t="shared" si="32"/>
        <v>11.538461538461538</v>
      </c>
      <c r="F198" s="310">
        <v>5550</v>
      </c>
      <c r="G198" s="311">
        <v>5900</v>
      </c>
      <c r="H198" s="306">
        <f t="shared" si="31"/>
        <v>6.306306306306306</v>
      </c>
      <c r="I198" s="310"/>
      <c r="J198" s="311"/>
      <c r="K198" s="306"/>
      <c r="L198" s="310"/>
      <c r="M198" s="311"/>
      <c r="N198" s="306"/>
      <c r="O198" s="310"/>
      <c r="P198" s="311"/>
      <c r="Q198" s="306"/>
      <c r="R198" s="310"/>
      <c r="S198" s="311"/>
      <c r="T198" s="306"/>
      <c r="U198" s="310"/>
      <c r="V198" s="311"/>
      <c r="W198" s="306"/>
      <c r="X198" s="310"/>
      <c r="Y198" s="311"/>
      <c r="Z198" s="306"/>
      <c r="AA198" s="310"/>
      <c r="AB198" s="311"/>
      <c r="AC198" s="306"/>
      <c r="AD198" s="310"/>
      <c r="AE198" s="311"/>
      <c r="AF198" s="306"/>
      <c r="AG198" s="310"/>
      <c r="AH198" s="311"/>
      <c r="AI198" s="306"/>
      <c r="AJ198" s="310"/>
      <c r="AK198" s="311"/>
      <c r="AL198" s="306"/>
      <c r="AM198" s="310"/>
      <c r="AN198" s="311"/>
      <c r="AO198" s="306"/>
      <c r="AP198" s="310"/>
      <c r="AQ198" s="311"/>
      <c r="AR198" s="306"/>
      <c r="AS198" s="310"/>
      <c r="AT198" s="311"/>
      <c r="AU198" s="306"/>
      <c r="AV198" s="310"/>
      <c r="AW198" s="311"/>
      <c r="AX198" s="306"/>
      <c r="AY198" s="310"/>
      <c r="AZ198" s="311"/>
      <c r="BA198" s="306"/>
      <c r="BB198" s="310"/>
      <c r="BC198" s="311"/>
      <c r="BD198" s="306"/>
      <c r="BE198" s="312"/>
      <c r="BF198" s="312"/>
      <c r="BG198" s="312"/>
      <c r="BH198" s="312"/>
      <c r="BI198" s="312"/>
      <c r="BJ198" s="312"/>
      <c r="BK198" s="312"/>
      <c r="BL198" s="312"/>
      <c r="BM198" s="312"/>
      <c r="BN198" s="312"/>
      <c r="BO198" s="312"/>
      <c r="BP198" s="312"/>
      <c r="BQ198" s="312"/>
      <c r="BR198" s="312"/>
      <c r="BS198" s="312"/>
      <c r="BT198" s="312"/>
      <c r="BU198" s="312"/>
      <c r="BV198" s="312"/>
      <c r="BW198" s="312"/>
      <c r="BX198" s="312"/>
      <c r="BY198" s="312"/>
      <c r="BZ198" s="312"/>
      <c r="CA198" s="312"/>
      <c r="CB198" s="312"/>
      <c r="CC198" s="312"/>
      <c r="CD198" s="312"/>
      <c r="CE198" s="312"/>
      <c r="CF198" s="312"/>
      <c r="CG198" s="312"/>
      <c r="CH198" s="312"/>
      <c r="CI198" s="312"/>
      <c r="CJ198" s="312"/>
      <c r="CK198" s="312"/>
      <c r="CL198" s="312"/>
      <c r="CM198" s="312"/>
      <c r="CN198" s="312"/>
      <c r="CO198" s="312"/>
      <c r="CP198" s="312"/>
      <c r="CQ198" s="312"/>
      <c r="CR198" s="312"/>
    </row>
    <row r="199" spans="1:96" s="300" customFormat="1" ht="15.75" customHeight="1">
      <c r="A199" s="313"/>
      <c r="B199" s="305" t="s">
        <v>673</v>
      </c>
      <c r="C199" s="311">
        <v>2473</v>
      </c>
      <c r="D199" s="311">
        <v>2710</v>
      </c>
      <c r="E199" s="306">
        <f t="shared" si="32"/>
        <v>9.583501819652245</v>
      </c>
      <c r="F199" s="310">
        <v>4763</v>
      </c>
      <c r="G199" s="311">
        <v>5100</v>
      </c>
      <c r="H199" s="306">
        <f t="shared" si="31"/>
        <v>7.0753726642872135</v>
      </c>
      <c r="I199" s="310"/>
      <c r="J199" s="311"/>
      <c r="K199" s="306"/>
      <c r="L199" s="310"/>
      <c r="M199" s="311"/>
      <c r="N199" s="306"/>
      <c r="O199" s="310"/>
      <c r="P199" s="311"/>
      <c r="Q199" s="306"/>
      <c r="R199" s="310"/>
      <c r="S199" s="311"/>
      <c r="T199" s="306"/>
      <c r="U199" s="310"/>
      <c r="V199" s="311"/>
      <c r="W199" s="306"/>
      <c r="X199" s="310"/>
      <c r="Y199" s="311"/>
      <c r="Z199" s="306"/>
      <c r="AA199" s="310"/>
      <c r="AB199" s="311"/>
      <c r="AC199" s="306"/>
      <c r="AD199" s="310"/>
      <c r="AE199" s="311"/>
      <c r="AF199" s="306"/>
      <c r="AG199" s="310"/>
      <c r="AH199" s="311"/>
      <c r="AI199" s="306"/>
      <c r="AJ199" s="310"/>
      <c r="AK199" s="311"/>
      <c r="AL199" s="306"/>
      <c r="AM199" s="310"/>
      <c r="AN199" s="311"/>
      <c r="AO199" s="306"/>
      <c r="AP199" s="310"/>
      <c r="AQ199" s="311"/>
      <c r="AR199" s="306"/>
      <c r="AS199" s="310"/>
      <c r="AT199" s="311"/>
      <c r="AU199" s="306"/>
      <c r="AV199" s="310"/>
      <c r="AW199" s="311"/>
      <c r="AX199" s="306"/>
      <c r="AY199" s="310"/>
      <c r="AZ199" s="311"/>
      <c r="BA199" s="306"/>
      <c r="BB199" s="310"/>
      <c r="BC199" s="311"/>
      <c r="BD199" s="306"/>
      <c r="BE199" s="312"/>
      <c r="BF199" s="312"/>
      <c r="BG199" s="312"/>
      <c r="BH199" s="312"/>
      <c r="BI199" s="312"/>
      <c r="BJ199" s="312"/>
      <c r="BK199" s="312"/>
      <c r="BL199" s="312"/>
      <c r="BM199" s="312"/>
      <c r="BN199" s="312"/>
      <c r="BO199" s="312"/>
      <c r="BP199" s="312"/>
      <c r="BQ199" s="312"/>
      <c r="BR199" s="312"/>
      <c r="BS199" s="312"/>
      <c r="BT199" s="312"/>
      <c r="BU199" s="312"/>
      <c r="BV199" s="312"/>
      <c r="BW199" s="312"/>
      <c r="BX199" s="312"/>
      <c r="BY199" s="312"/>
      <c r="BZ199" s="312"/>
      <c r="CA199" s="312"/>
      <c r="CB199" s="312"/>
      <c r="CC199" s="312"/>
      <c r="CD199" s="312"/>
      <c r="CE199" s="312"/>
      <c r="CF199" s="312"/>
      <c r="CG199" s="312"/>
      <c r="CH199" s="312"/>
      <c r="CI199" s="312"/>
      <c r="CJ199" s="312"/>
      <c r="CK199" s="312"/>
      <c r="CL199" s="312"/>
      <c r="CM199" s="312"/>
      <c r="CN199" s="312"/>
      <c r="CO199" s="312"/>
      <c r="CP199" s="312"/>
      <c r="CQ199" s="312"/>
      <c r="CR199" s="312"/>
    </row>
    <row r="200" spans="1:96" s="300" customFormat="1" ht="15.75" customHeight="1">
      <c r="A200" s="313"/>
      <c r="B200" s="305" t="s">
        <v>76</v>
      </c>
      <c r="C200" s="311">
        <v>3128</v>
      </c>
      <c r="D200" s="311">
        <v>3479</v>
      </c>
      <c r="E200" s="306">
        <f t="shared" si="32"/>
        <v>11.221227621483376</v>
      </c>
      <c r="F200" s="310">
        <v>8027</v>
      </c>
      <c r="G200" s="311">
        <v>8831</v>
      </c>
      <c r="H200" s="306">
        <f t="shared" si="31"/>
        <v>10.016195340725051</v>
      </c>
      <c r="I200" s="310"/>
      <c r="J200" s="311"/>
      <c r="K200" s="306"/>
      <c r="L200" s="310"/>
      <c r="M200" s="311"/>
      <c r="N200" s="306"/>
      <c r="O200" s="310"/>
      <c r="P200" s="311"/>
      <c r="Q200" s="306"/>
      <c r="R200" s="310"/>
      <c r="S200" s="311"/>
      <c r="T200" s="306"/>
      <c r="U200" s="310"/>
      <c r="V200" s="311"/>
      <c r="W200" s="306"/>
      <c r="X200" s="310"/>
      <c r="Y200" s="311"/>
      <c r="Z200" s="306"/>
      <c r="AA200" s="310"/>
      <c r="AB200" s="311"/>
      <c r="AC200" s="306"/>
      <c r="AD200" s="310"/>
      <c r="AE200" s="311"/>
      <c r="AF200" s="306"/>
      <c r="AG200" s="310"/>
      <c r="AH200" s="311"/>
      <c r="AI200" s="306"/>
      <c r="AJ200" s="310"/>
      <c r="AK200" s="311"/>
      <c r="AL200" s="306"/>
      <c r="AM200" s="310"/>
      <c r="AN200" s="311"/>
      <c r="AO200" s="306"/>
      <c r="AP200" s="310"/>
      <c r="AQ200" s="311"/>
      <c r="AR200" s="306"/>
      <c r="AS200" s="310"/>
      <c r="AT200" s="311"/>
      <c r="AU200" s="306"/>
      <c r="AV200" s="310"/>
      <c r="AW200" s="311"/>
      <c r="AX200" s="306"/>
      <c r="AY200" s="310"/>
      <c r="AZ200" s="311"/>
      <c r="BA200" s="306"/>
      <c r="BB200" s="310"/>
      <c r="BC200" s="311"/>
      <c r="BD200" s="306"/>
      <c r="BE200" s="312"/>
      <c r="BF200" s="312"/>
      <c r="BG200" s="312"/>
      <c r="BH200" s="312"/>
      <c r="BI200" s="312"/>
      <c r="BJ200" s="312"/>
      <c r="BK200" s="312"/>
      <c r="BL200" s="312"/>
      <c r="BM200" s="312"/>
      <c r="BN200" s="312"/>
      <c r="BO200" s="312"/>
      <c r="BP200" s="312"/>
      <c r="BQ200" s="312"/>
      <c r="BR200" s="312"/>
      <c r="BS200" s="312"/>
      <c r="BT200" s="312"/>
      <c r="BU200" s="312"/>
      <c r="BV200" s="312"/>
      <c r="BW200" s="312"/>
      <c r="BX200" s="312"/>
      <c r="BY200" s="312"/>
      <c r="BZ200" s="312"/>
      <c r="CA200" s="312"/>
      <c r="CB200" s="312"/>
      <c r="CC200" s="312"/>
      <c r="CD200" s="312"/>
      <c r="CE200" s="312"/>
      <c r="CF200" s="312"/>
      <c r="CG200" s="312"/>
      <c r="CH200" s="312"/>
      <c r="CI200" s="312"/>
      <c r="CJ200" s="312"/>
      <c r="CK200" s="312"/>
      <c r="CL200" s="312"/>
      <c r="CM200" s="312"/>
      <c r="CN200" s="312"/>
      <c r="CO200" s="312"/>
      <c r="CP200" s="312"/>
      <c r="CQ200" s="312"/>
      <c r="CR200" s="312"/>
    </row>
    <row r="201" spans="1:96" s="300" customFormat="1" ht="15.75" customHeight="1">
      <c r="A201" s="313"/>
      <c r="B201" s="305" t="s">
        <v>473</v>
      </c>
      <c r="C201" s="311">
        <v>2600</v>
      </c>
      <c r="D201" s="311">
        <v>2836</v>
      </c>
      <c r="E201" s="306">
        <f t="shared" si="32"/>
        <v>9.076923076923077</v>
      </c>
      <c r="F201" s="310">
        <v>5188</v>
      </c>
      <c r="G201" s="311">
        <v>5370</v>
      </c>
      <c r="H201" s="306">
        <f t="shared" si="31"/>
        <v>3.5080956052428682</v>
      </c>
      <c r="I201" s="310"/>
      <c r="J201" s="311"/>
      <c r="K201" s="306"/>
      <c r="L201" s="310"/>
      <c r="M201" s="311"/>
      <c r="N201" s="306"/>
      <c r="O201" s="310"/>
      <c r="P201" s="311"/>
      <c r="Q201" s="306"/>
      <c r="R201" s="310"/>
      <c r="S201" s="311"/>
      <c r="T201" s="306"/>
      <c r="U201" s="310"/>
      <c r="V201" s="311"/>
      <c r="W201" s="306"/>
      <c r="X201" s="310"/>
      <c r="Y201" s="311"/>
      <c r="Z201" s="306"/>
      <c r="AA201" s="310"/>
      <c r="AB201" s="311"/>
      <c r="AC201" s="306"/>
      <c r="AD201" s="310"/>
      <c r="AE201" s="311"/>
      <c r="AF201" s="306"/>
      <c r="AG201" s="310"/>
      <c r="AH201" s="311"/>
      <c r="AI201" s="306"/>
      <c r="AJ201" s="310"/>
      <c r="AK201" s="311"/>
      <c r="AL201" s="306"/>
      <c r="AM201" s="310"/>
      <c r="AN201" s="311"/>
      <c r="AO201" s="306"/>
      <c r="AP201" s="310"/>
      <c r="AQ201" s="311"/>
      <c r="AR201" s="306"/>
      <c r="AS201" s="310"/>
      <c r="AT201" s="311"/>
      <c r="AU201" s="306"/>
      <c r="AV201" s="310"/>
      <c r="AW201" s="311"/>
      <c r="AX201" s="306"/>
      <c r="AY201" s="310"/>
      <c r="AZ201" s="311"/>
      <c r="BA201" s="306"/>
      <c r="BB201" s="310"/>
      <c r="BC201" s="311"/>
      <c r="BD201" s="306"/>
      <c r="BE201" s="312"/>
      <c r="BF201" s="312"/>
      <c r="BG201" s="312"/>
      <c r="BH201" s="312"/>
      <c r="BI201" s="312"/>
      <c r="BJ201" s="312"/>
      <c r="BK201" s="312"/>
      <c r="BL201" s="312"/>
      <c r="BM201" s="312"/>
      <c r="BN201" s="312"/>
      <c r="BO201" s="312"/>
      <c r="BP201" s="312"/>
      <c r="BQ201" s="312"/>
      <c r="BR201" s="312"/>
      <c r="BS201" s="312"/>
      <c r="BT201" s="312"/>
      <c r="BU201" s="312"/>
      <c r="BV201" s="312"/>
      <c r="BW201" s="312"/>
      <c r="BX201" s="312"/>
      <c r="BY201" s="312"/>
      <c r="BZ201" s="312"/>
      <c r="CA201" s="312"/>
      <c r="CB201" s="312"/>
      <c r="CC201" s="312"/>
      <c r="CD201" s="312"/>
      <c r="CE201" s="312"/>
      <c r="CF201" s="312"/>
      <c r="CG201" s="312"/>
      <c r="CH201" s="312"/>
      <c r="CI201" s="312"/>
      <c r="CJ201" s="312"/>
      <c r="CK201" s="312"/>
      <c r="CL201" s="312"/>
      <c r="CM201" s="312"/>
      <c r="CN201" s="312"/>
      <c r="CO201" s="312"/>
      <c r="CP201" s="312"/>
      <c r="CQ201" s="312"/>
      <c r="CR201" s="312"/>
    </row>
    <row r="202" spans="1:96" s="300" customFormat="1" ht="15.75" customHeight="1">
      <c r="A202" s="313"/>
      <c r="B202" s="305" t="s">
        <v>77</v>
      </c>
      <c r="C202" s="311"/>
      <c r="D202" s="311"/>
      <c r="E202" s="306">
        <f aca="true" t="shared" si="35" ref="E202:E218">IF(C202&gt;0,(((D202-C202)/C202)*100),0)</f>
        <v>0</v>
      </c>
      <c r="F202" s="310"/>
      <c r="G202" s="311"/>
      <c r="H202" s="306">
        <f aca="true" t="shared" si="36" ref="H202:H218">IF(F202&gt;0,(((G202-F202)/F202)*100),0)</f>
        <v>0</v>
      </c>
      <c r="I202" s="310"/>
      <c r="J202" s="311"/>
      <c r="K202" s="306"/>
      <c r="L202" s="310"/>
      <c r="M202" s="311"/>
      <c r="N202" s="306"/>
      <c r="O202" s="310"/>
      <c r="P202" s="311"/>
      <c r="Q202" s="306"/>
      <c r="R202" s="310"/>
      <c r="S202" s="311"/>
      <c r="T202" s="306"/>
      <c r="U202" s="310"/>
      <c r="V202" s="311"/>
      <c r="W202" s="306"/>
      <c r="X202" s="310"/>
      <c r="Y202" s="311"/>
      <c r="Z202" s="306"/>
      <c r="AA202" s="310"/>
      <c r="AB202" s="311"/>
      <c r="AC202" s="306"/>
      <c r="AD202" s="310"/>
      <c r="AE202" s="311"/>
      <c r="AF202" s="306"/>
      <c r="AG202" s="310"/>
      <c r="AH202" s="311"/>
      <c r="AI202" s="306"/>
      <c r="AJ202" s="310"/>
      <c r="AK202" s="311"/>
      <c r="AL202" s="306"/>
      <c r="AM202" s="310"/>
      <c r="AN202" s="311"/>
      <c r="AO202" s="306"/>
      <c r="AP202" s="310"/>
      <c r="AQ202" s="311"/>
      <c r="AR202" s="306"/>
      <c r="AS202" s="310"/>
      <c r="AT202" s="311"/>
      <c r="AU202" s="306"/>
      <c r="AV202" s="310"/>
      <c r="AW202" s="311"/>
      <c r="AX202" s="306"/>
      <c r="AY202" s="310"/>
      <c r="AZ202" s="311"/>
      <c r="BA202" s="306"/>
      <c r="BB202" s="310"/>
      <c r="BC202" s="311"/>
      <c r="BD202" s="306"/>
      <c r="BE202" s="312"/>
      <c r="BF202" s="312"/>
      <c r="BG202" s="312"/>
      <c r="BH202" s="312"/>
      <c r="BI202" s="312"/>
      <c r="BJ202" s="312"/>
      <c r="BK202" s="312"/>
      <c r="BL202" s="312"/>
      <c r="BM202" s="312"/>
      <c r="BN202" s="312"/>
      <c r="BO202" s="312"/>
      <c r="BP202" s="312"/>
      <c r="BQ202" s="312"/>
      <c r="BR202" s="312"/>
      <c r="BS202" s="312"/>
      <c r="BT202" s="312"/>
      <c r="BU202" s="312"/>
      <c r="BV202" s="312"/>
      <c r="BW202" s="312"/>
      <c r="BX202" s="312"/>
      <c r="BY202" s="312"/>
      <c r="BZ202" s="312"/>
      <c r="CA202" s="312"/>
      <c r="CB202" s="312"/>
      <c r="CC202" s="312"/>
      <c r="CD202" s="312"/>
      <c r="CE202" s="312"/>
      <c r="CF202" s="312"/>
      <c r="CG202" s="312"/>
      <c r="CH202" s="312"/>
      <c r="CI202" s="312"/>
      <c r="CJ202" s="312"/>
      <c r="CK202" s="312"/>
      <c r="CL202" s="312"/>
      <c r="CM202" s="312"/>
      <c r="CN202" s="312"/>
      <c r="CO202" s="312"/>
      <c r="CP202" s="312"/>
      <c r="CQ202" s="312"/>
      <c r="CR202" s="312"/>
    </row>
    <row r="203" spans="1:96" s="300" customFormat="1" ht="15.75" customHeight="1">
      <c r="A203" s="313"/>
      <c r="B203" s="305" t="s">
        <v>63</v>
      </c>
      <c r="C203" s="311"/>
      <c r="D203" s="311"/>
      <c r="E203" s="306">
        <f t="shared" si="35"/>
        <v>0</v>
      </c>
      <c r="F203" s="310"/>
      <c r="G203" s="311"/>
      <c r="H203" s="306">
        <f t="shared" si="36"/>
        <v>0</v>
      </c>
      <c r="I203" s="310"/>
      <c r="J203" s="311"/>
      <c r="K203" s="306"/>
      <c r="L203" s="310"/>
      <c r="M203" s="311"/>
      <c r="N203" s="306"/>
      <c r="O203" s="310"/>
      <c r="P203" s="311"/>
      <c r="Q203" s="306"/>
      <c r="R203" s="310"/>
      <c r="S203" s="311"/>
      <c r="T203" s="306"/>
      <c r="U203" s="310"/>
      <c r="V203" s="311"/>
      <c r="W203" s="306"/>
      <c r="X203" s="310"/>
      <c r="Y203" s="311"/>
      <c r="Z203" s="306"/>
      <c r="AA203" s="310"/>
      <c r="AB203" s="311"/>
      <c r="AC203" s="306"/>
      <c r="AD203" s="310"/>
      <c r="AE203" s="311"/>
      <c r="AF203" s="306"/>
      <c r="AG203" s="310"/>
      <c r="AH203" s="311"/>
      <c r="AI203" s="306"/>
      <c r="AJ203" s="310"/>
      <c r="AK203" s="311"/>
      <c r="AL203" s="306"/>
      <c r="AM203" s="310"/>
      <c r="AN203" s="311"/>
      <c r="AO203" s="306"/>
      <c r="AP203" s="310"/>
      <c r="AQ203" s="311"/>
      <c r="AR203" s="306"/>
      <c r="AS203" s="310"/>
      <c r="AT203" s="311"/>
      <c r="AU203" s="306"/>
      <c r="AV203" s="310"/>
      <c r="AW203" s="311"/>
      <c r="AX203" s="306"/>
      <c r="AY203" s="310"/>
      <c r="AZ203" s="311"/>
      <c r="BA203" s="306"/>
      <c r="BB203" s="310"/>
      <c r="BC203" s="311"/>
      <c r="BD203" s="306"/>
      <c r="BE203" s="312"/>
      <c r="BF203" s="312"/>
      <c r="BG203" s="312"/>
      <c r="BH203" s="312"/>
      <c r="BI203" s="312"/>
      <c r="BJ203" s="312"/>
      <c r="BK203" s="312"/>
      <c r="BL203" s="312"/>
      <c r="BM203" s="312"/>
      <c r="BN203" s="312"/>
      <c r="BO203" s="312"/>
      <c r="BP203" s="312"/>
      <c r="BQ203" s="312"/>
      <c r="BR203" s="312"/>
      <c r="BS203" s="312"/>
      <c r="BT203" s="312"/>
      <c r="BU203" s="312"/>
      <c r="BV203" s="312"/>
      <c r="BW203" s="312"/>
      <c r="BX203" s="312"/>
      <c r="BY203" s="312"/>
      <c r="BZ203" s="312"/>
      <c r="CA203" s="312"/>
      <c r="CB203" s="312"/>
      <c r="CC203" s="312"/>
      <c r="CD203" s="312"/>
      <c r="CE203" s="312"/>
      <c r="CF203" s="312"/>
      <c r="CG203" s="312"/>
      <c r="CH203" s="312"/>
      <c r="CI203" s="312"/>
      <c r="CJ203" s="312"/>
      <c r="CK203" s="312"/>
      <c r="CL203" s="312"/>
      <c r="CM203" s="312"/>
      <c r="CN203" s="312"/>
      <c r="CO203" s="312"/>
      <c r="CP203" s="312"/>
      <c r="CQ203" s="312"/>
      <c r="CR203" s="312"/>
    </row>
    <row r="204" spans="1:96" s="300" customFormat="1" ht="15.75" customHeight="1">
      <c r="A204" s="313"/>
      <c r="B204" s="305" t="s">
        <v>64</v>
      </c>
      <c r="C204" s="311"/>
      <c r="D204" s="311"/>
      <c r="E204" s="306">
        <f t="shared" si="35"/>
        <v>0</v>
      </c>
      <c r="F204" s="310"/>
      <c r="G204" s="311"/>
      <c r="H204" s="306">
        <f t="shared" si="36"/>
        <v>0</v>
      </c>
      <c r="I204" s="310"/>
      <c r="J204" s="311"/>
      <c r="K204" s="306"/>
      <c r="L204" s="310"/>
      <c r="M204" s="311"/>
      <c r="N204" s="306"/>
      <c r="O204" s="310"/>
      <c r="P204" s="311"/>
      <c r="Q204" s="306"/>
      <c r="R204" s="310"/>
      <c r="S204" s="311"/>
      <c r="T204" s="306"/>
      <c r="U204" s="310"/>
      <c r="V204" s="311"/>
      <c r="W204" s="306"/>
      <c r="X204" s="310"/>
      <c r="Y204" s="311"/>
      <c r="Z204" s="306"/>
      <c r="AA204" s="310"/>
      <c r="AB204" s="311"/>
      <c r="AC204" s="306"/>
      <c r="AD204" s="310"/>
      <c r="AE204" s="311"/>
      <c r="AF204" s="306"/>
      <c r="AG204" s="310"/>
      <c r="AH204" s="311"/>
      <c r="AI204" s="306"/>
      <c r="AJ204" s="310"/>
      <c r="AK204" s="311"/>
      <c r="AL204" s="306"/>
      <c r="AM204" s="310"/>
      <c r="AN204" s="311"/>
      <c r="AO204" s="306"/>
      <c r="AP204" s="310"/>
      <c r="AQ204" s="311"/>
      <c r="AR204" s="306"/>
      <c r="AS204" s="310"/>
      <c r="AT204" s="311"/>
      <c r="AU204" s="306"/>
      <c r="AV204" s="310"/>
      <c r="AW204" s="311"/>
      <c r="AX204" s="306"/>
      <c r="AY204" s="310"/>
      <c r="AZ204" s="311"/>
      <c r="BA204" s="306"/>
      <c r="BB204" s="310"/>
      <c r="BC204" s="311"/>
      <c r="BD204" s="306"/>
      <c r="BE204" s="312"/>
      <c r="BF204" s="312"/>
      <c r="BG204" s="312"/>
      <c r="BH204" s="312"/>
      <c r="BI204" s="312"/>
      <c r="BJ204" s="312"/>
      <c r="BK204" s="312"/>
      <c r="BL204" s="312"/>
      <c r="BM204" s="312"/>
      <c r="BN204" s="312"/>
      <c r="BO204" s="312"/>
      <c r="BP204" s="312"/>
      <c r="BQ204" s="312"/>
      <c r="BR204" s="312"/>
      <c r="BS204" s="312"/>
      <c r="BT204" s="312"/>
      <c r="BU204" s="312"/>
      <c r="BV204" s="312"/>
      <c r="BW204" s="312"/>
      <c r="BX204" s="312"/>
      <c r="BY204" s="312"/>
      <c r="BZ204" s="312"/>
      <c r="CA204" s="312"/>
      <c r="CB204" s="312"/>
      <c r="CC204" s="312"/>
      <c r="CD204" s="312"/>
      <c r="CE204" s="312"/>
      <c r="CF204" s="312"/>
      <c r="CG204" s="312"/>
      <c r="CH204" s="312"/>
      <c r="CI204" s="312"/>
      <c r="CJ204" s="312"/>
      <c r="CK204" s="312"/>
      <c r="CL204" s="312"/>
      <c r="CM204" s="312"/>
      <c r="CN204" s="312"/>
      <c r="CO204" s="312"/>
      <c r="CP204" s="312"/>
      <c r="CQ204" s="312"/>
      <c r="CR204" s="312"/>
    </row>
    <row r="205" spans="1:96" s="300" customFormat="1" ht="15.75" customHeight="1" thickBot="1">
      <c r="A205" s="313"/>
      <c r="B205" s="305" t="s">
        <v>970</v>
      </c>
      <c r="C205" s="311"/>
      <c r="D205" s="311"/>
      <c r="E205" s="306">
        <f t="shared" si="35"/>
        <v>0</v>
      </c>
      <c r="F205" s="310"/>
      <c r="G205" s="311"/>
      <c r="H205" s="306">
        <f t="shared" si="36"/>
        <v>0</v>
      </c>
      <c r="I205" s="310"/>
      <c r="J205" s="311"/>
      <c r="K205" s="306"/>
      <c r="L205" s="310"/>
      <c r="M205" s="311"/>
      <c r="N205" s="306"/>
      <c r="O205" s="310"/>
      <c r="P205" s="311"/>
      <c r="Q205" s="306"/>
      <c r="R205" s="310"/>
      <c r="S205" s="311"/>
      <c r="T205" s="306"/>
      <c r="U205" s="310"/>
      <c r="V205" s="311"/>
      <c r="W205" s="306"/>
      <c r="X205" s="310"/>
      <c r="Y205" s="311"/>
      <c r="Z205" s="306"/>
      <c r="AA205" s="310"/>
      <c r="AB205" s="311"/>
      <c r="AC205" s="306"/>
      <c r="AD205" s="310"/>
      <c r="AE205" s="311"/>
      <c r="AF205" s="306"/>
      <c r="AG205" s="310"/>
      <c r="AH205" s="311"/>
      <c r="AI205" s="306"/>
      <c r="AJ205" s="310"/>
      <c r="AK205" s="311"/>
      <c r="AL205" s="306"/>
      <c r="AM205" s="310"/>
      <c r="AN205" s="311"/>
      <c r="AO205" s="306"/>
      <c r="AP205" s="310"/>
      <c r="AQ205" s="311"/>
      <c r="AR205" s="306"/>
      <c r="AS205" s="310"/>
      <c r="AT205" s="311"/>
      <c r="AU205" s="306"/>
      <c r="AV205" s="310"/>
      <c r="AW205" s="311"/>
      <c r="AX205" s="306"/>
      <c r="AY205" s="310"/>
      <c r="AZ205" s="311"/>
      <c r="BA205" s="306"/>
      <c r="BB205" s="310"/>
      <c r="BC205" s="311"/>
      <c r="BD205" s="306"/>
      <c r="BE205" s="312"/>
      <c r="BF205" s="312"/>
      <c r="BG205" s="312"/>
      <c r="BH205" s="312"/>
      <c r="BI205" s="312"/>
      <c r="BJ205" s="312"/>
      <c r="BK205" s="312"/>
      <c r="BL205" s="312"/>
      <c r="BM205" s="312"/>
      <c r="BN205" s="312"/>
      <c r="BO205" s="312"/>
      <c r="BP205" s="312"/>
      <c r="BQ205" s="312"/>
      <c r="BR205" s="312"/>
      <c r="BS205" s="312"/>
      <c r="BT205" s="312"/>
      <c r="BU205" s="312"/>
      <c r="BV205" s="312"/>
      <c r="BW205" s="312"/>
      <c r="BX205" s="312"/>
      <c r="BY205" s="312"/>
      <c r="BZ205" s="312"/>
      <c r="CA205" s="312"/>
      <c r="CB205" s="312"/>
      <c r="CC205" s="312"/>
      <c r="CD205" s="312"/>
      <c r="CE205" s="312"/>
      <c r="CF205" s="312"/>
      <c r="CG205" s="312"/>
      <c r="CH205" s="312"/>
      <c r="CI205" s="312"/>
      <c r="CJ205" s="312"/>
      <c r="CK205" s="312"/>
      <c r="CL205" s="312"/>
      <c r="CM205" s="312"/>
      <c r="CN205" s="312"/>
      <c r="CO205" s="312"/>
      <c r="CP205" s="312"/>
      <c r="CQ205" s="312"/>
      <c r="CR205" s="312"/>
    </row>
    <row r="206" spans="1:96" s="321" customFormat="1" ht="15.75" customHeight="1">
      <c r="A206" s="314"/>
      <c r="B206" s="315"/>
      <c r="C206" s="317"/>
      <c r="D206" s="317"/>
      <c r="E206" s="318">
        <f t="shared" si="35"/>
        <v>0</v>
      </c>
      <c r="F206" s="316"/>
      <c r="G206" s="317"/>
      <c r="H206" s="318">
        <f t="shared" si="36"/>
        <v>0</v>
      </c>
      <c r="I206" s="316"/>
      <c r="J206" s="317"/>
      <c r="K206" s="318"/>
      <c r="L206" s="316"/>
      <c r="M206" s="317"/>
      <c r="N206" s="318"/>
      <c r="O206" s="317">
        <v>13064</v>
      </c>
      <c r="P206" s="317">
        <v>14378</v>
      </c>
      <c r="Q206" s="318">
        <f>IF(O206&gt;0,(((P206-O206)/O206)*100),0)</f>
        <v>10.05817513778322</v>
      </c>
      <c r="R206" s="317">
        <v>26170</v>
      </c>
      <c r="S206" s="317">
        <v>28794</v>
      </c>
      <c r="T206" s="318">
        <f>IF(R206&gt;0,(((S206-R206)/R206)*100),0)</f>
        <v>10.026748184944594</v>
      </c>
      <c r="U206" s="316">
        <v>16047</v>
      </c>
      <c r="V206" s="317">
        <v>18725</v>
      </c>
      <c r="W206" s="318">
        <f>IF(U206&gt;0,(((V206-U206)/U206)*100),0)</f>
        <v>16.68847759705864</v>
      </c>
      <c r="X206" s="316">
        <v>45713</v>
      </c>
      <c r="Y206" s="317">
        <v>53314</v>
      </c>
      <c r="Z206" s="318">
        <f>IF(X206&gt;0,(((Y206-X206)/X206)*100),0)</f>
        <v>16.62765515280117</v>
      </c>
      <c r="AA206" s="336">
        <v>8648</v>
      </c>
      <c r="AB206" s="337">
        <v>11590</v>
      </c>
      <c r="AC206" s="338">
        <f>IF(AA206&gt;0,(((AB206-AA206)/AA206)*100),0)</f>
        <v>34.01942645698428</v>
      </c>
      <c r="AD206" s="336">
        <v>24056</v>
      </c>
      <c r="AE206" s="337">
        <v>32400</v>
      </c>
      <c r="AF206" s="338">
        <f>IF(AD206&gt;0,(((AE206-AD206)/AD206)*100),0)</f>
        <v>34.685733288992346</v>
      </c>
      <c r="AG206" s="336">
        <v>6726</v>
      </c>
      <c r="AH206" s="337">
        <v>8878</v>
      </c>
      <c r="AI206" s="338">
        <f>IF(AG206&gt;0,(((AH206-AG206)/AG206)*100),0)</f>
        <v>31.995242343146003</v>
      </c>
      <c r="AJ206" s="336">
        <v>18220</v>
      </c>
      <c r="AK206" s="337">
        <v>22000</v>
      </c>
      <c r="AL206" s="338">
        <f>IF(AJ206&gt;0,(((AK206-AJ206)/AJ206)*100),0)</f>
        <v>20.74643249176729</v>
      </c>
      <c r="AM206" s="317"/>
      <c r="AN206" s="317"/>
      <c r="AO206" s="318"/>
      <c r="AP206" s="317"/>
      <c r="AQ206" s="317"/>
      <c r="AR206" s="318">
        <f>IF(AP206&gt;0,(((AQ206-AP206)/AP206)*100),0)</f>
        <v>0</v>
      </c>
      <c r="AS206" s="317"/>
      <c r="AT206" s="317"/>
      <c r="AU206" s="318"/>
      <c r="AV206" s="317"/>
      <c r="AW206" s="317"/>
      <c r="AX206" s="318"/>
      <c r="AY206" s="317"/>
      <c r="AZ206" s="317"/>
      <c r="BA206" s="318">
        <f>IF(AY206&gt;0,(((AZ206-AY206)/AY206)*100),0)</f>
        <v>0</v>
      </c>
      <c r="BB206" s="317"/>
      <c r="BC206" s="317"/>
      <c r="BD206" s="318"/>
      <c r="BE206" s="320"/>
      <c r="BF206" s="320"/>
      <c r="BG206" s="320"/>
      <c r="BH206" s="320"/>
      <c r="BI206" s="320"/>
      <c r="BJ206" s="320"/>
      <c r="BK206" s="320"/>
      <c r="BL206" s="320"/>
      <c r="BM206" s="320"/>
      <c r="BN206" s="320"/>
      <c r="BO206" s="320"/>
      <c r="BP206" s="320"/>
      <c r="BQ206" s="320"/>
      <c r="BR206" s="320"/>
      <c r="BS206" s="320"/>
      <c r="BT206" s="320"/>
      <c r="BU206" s="320"/>
      <c r="BV206" s="320"/>
      <c r="BW206" s="320"/>
      <c r="BX206" s="320"/>
      <c r="BY206" s="320"/>
      <c r="BZ206" s="320"/>
      <c r="CA206" s="320"/>
      <c r="CB206" s="320"/>
      <c r="CC206" s="320"/>
      <c r="CD206" s="320"/>
      <c r="CE206" s="320"/>
      <c r="CF206" s="320"/>
      <c r="CG206" s="320"/>
      <c r="CH206" s="320"/>
      <c r="CI206" s="320"/>
      <c r="CJ206" s="320"/>
      <c r="CK206" s="320"/>
      <c r="CL206" s="320"/>
      <c r="CM206" s="320"/>
      <c r="CN206" s="320"/>
      <c r="CO206" s="320"/>
      <c r="CP206" s="320"/>
      <c r="CQ206" s="320"/>
      <c r="CR206" s="320"/>
    </row>
    <row r="207" spans="1:96" s="300" customFormat="1" ht="15.75" customHeight="1">
      <c r="A207" s="304" t="s">
        <v>1035</v>
      </c>
      <c r="B207" s="305" t="s">
        <v>665</v>
      </c>
      <c r="C207" s="311">
        <v>4450</v>
      </c>
      <c r="D207" s="311">
        <v>4749</v>
      </c>
      <c r="E207" s="306">
        <f t="shared" si="35"/>
        <v>6.719101123595506</v>
      </c>
      <c r="F207" s="310">
        <v>13532</v>
      </c>
      <c r="G207" s="311">
        <v>14529</v>
      </c>
      <c r="H207" s="306">
        <f t="shared" si="36"/>
        <v>7.3677209577298255</v>
      </c>
      <c r="I207" s="310">
        <v>5282</v>
      </c>
      <c r="J207" s="311">
        <v>5377</v>
      </c>
      <c r="K207" s="306">
        <f aca="true" t="shared" si="37" ref="K207:K213">IF(I207&gt;0,(((J207-I207)/I207)*100),0)</f>
        <v>1.7985611510791366</v>
      </c>
      <c r="L207" s="310">
        <v>14114</v>
      </c>
      <c r="M207" s="311">
        <v>15157</v>
      </c>
      <c r="N207" s="306">
        <f aca="true" t="shared" si="38" ref="N207:N213">IF(L207&gt;0,(((M207-L207)/L207)*100),0)</f>
        <v>7.389825704973784</v>
      </c>
      <c r="O207" s="310"/>
      <c r="P207" s="311"/>
      <c r="Q207" s="306"/>
      <c r="R207" s="310"/>
      <c r="S207" s="311"/>
      <c r="T207" s="306"/>
      <c r="U207" s="310"/>
      <c r="V207" s="311"/>
      <c r="W207" s="306"/>
      <c r="X207" s="310"/>
      <c r="Y207" s="311"/>
      <c r="Z207" s="306"/>
      <c r="AA207" s="310"/>
      <c r="AB207" s="311"/>
      <c r="AC207" s="306"/>
      <c r="AD207" s="310"/>
      <c r="AE207" s="311"/>
      <c r="AF207" s="306"/>
      <c r="AG207" s="310"/>
      <c r="AH207" s="311"/>
      <c r="AI207" s="306"/>
      <c r="AJ207" s="310"/>
      <c r="AK207" s="311"/>
      <c r="AL207" s="306"/>
      <c r="AM207" s="310"/>
      <c r="AN207" s="311"/>
      <c r="AO207" s="306"/>
      <c r="AP207" s="310"/>
      <c r="AQ207" s="311"/>
      <c r="AR207" s="306"/>
      <c r="AS207" s="310"/>
      <c r="AT207" s="311"/>
      <c r="AU207" s="306"/>
      <c r="AV207" s="310"/>
      <c r="AW207" s="311"/>
      <c r="AX207" s="306"/>
      <c r="AY207" s="310"/>
      <c r="AZ207" s="311"/>
      <c r="BA207" s="306"/>
      <c r="BB207" s="310"/>
      <c r="BC207" s="311"/>
      <c r="BD207" s="306"/>
      <c r="BE207" s="312"/>
      <c r="BF207" s="312"/>
      <c r="BG207" s="312"/>
      <c r="BH207" s="312"/>
      <c r="BI207" s="312"/>
      <c r="BJ207" s="312"/>
      <c r="BK207" s="312"/>
      <c r="BL207" s="312"/>
      <c r="BM207" s="312"/>
      <c r="BN207" s="312"/>
      <c r="BO207" s="312"/>
      <c r="BP207" s="312"/>
      <c r="BQ207" s="312"/>
      <c r="BR207" s="312"/>
      <c r="BS207" s="312"/>
      <c r="BT207" s="312"/>
      <c r="BU207" s="312"/>
      <c r="BV207" s="312"/>
      <c r="BW207" s="312"/>
      <c r="BX207" s="312"/>
      <c r="BY207" s="312"/>
      <c r="BZ207" s="312"/>
      <c r="CA207" s="312"/>
      <c r="CB207" s="312"/>
      <c r="CC207" s="312"/>
      <c r="CD207" s="312"/>
      <c r="CE207" s="312"/>
      <c r="CF207" s="312"/>
      <c r="CG207" s="312"/>
      <c r="CH207" s="312"/>
      <c r="CI207" s="312"/>
      <c r="CJ207" s="312"/>
      <c r="CK207" s="312"/>
      <c r="CL207" s="312"/>
      <c r="CM207" s="312"/>
      <c r="CN207" s="312"/>
      <c r="CO207" s="312"/>
      <c r="CP207" s="312"/>
      <c r="CQ207" s="312"/>
      <c r="CR207" s="312"/>
    </row>
    <row r="208" spans="1:96" s="300" customFormat="1" ht="15.75" customHeight="1">
      <c r="A208" s="313"/>
      <c r="B208" s="305" t="s">
        <v>666</v>
      </c>
      <c r="C208" s="311">
        <v>4234</v>
      </c>
      <c r="D208" s="311">
        <v>4480</v>
      </c>
      <c r="E208" s="306">
        <f t="shared" si="35"/>
        <v>5.8101086443079835</v>
      </c>
      <c r="F208" s="310">
        <v>12388</v>
      </c>
      <c r="G208" s="311">
        <v>13204</v>
      </c>
      <c r="H208" s="306">
        <f t="shared" si="36"/>
        <v>6.587019696480464</v>
      </c>
      <c r="I208" s="310">
        <v>5124</v>
      </c>
      <c r="J208" s="311">
        <v>5432</v>
      </c>
      <c r="K208" s="306">
        <f t="shared" si="37"/>
        <v>6.0109289617486334</v>
      </c>
      <c r="L208" s="310">
        <v>13278</v>
      </c>
      <c r="M208" s="311">
        <v>14156</v>
      </c>
      <c r="N208" s="306">
        <f t="shared" si="38"/>
        <v>6.61244163277602</v>
      </c>
      <c r="O208" s="310"/>
      <c r="P208" s="311"/>
      <c r="Q208" s="306"/>
      <c r="R208" s="310"/>
      <c r="S208" s="311"/>
      <c r="T208" s="306"/>
      <c r="U208" s="310"/>
      <c r="V208" s="311"/>
      <c r="W208" s="306"/>
      <c r="X208" s="310"/>
      <c r="Y208" s="311"/>
      <c r="Z208" s="306"/>
      <c r="AA208" s="310"/>
      <c r="AB208" s="311"/>
      <c r="AC208" s="306"/>
      <c r="AD208" s="310"/>
      <c r="AE208" s="311"/>
      <c r="AF208" s="306"/>
      <c r="AG208" s="310"/>
      <c r="AH208" s="311"/>
      <c r="AI208" s="306"/>
      <c r="AJ208" s="310"/>
      <c r="AK208" s="311"/>
      <c r="AL208" s="306"/>
      <c r="AM208" s="310"/>
      <c r="AN208" s="311"/>
      <c r="AO208" s="306"/>
      <c r="AP208" s="310"/>
      <c r="AQ208" s="311"/>
      <c r="AR208" s="306"/>
      <c r="AS208" s="310"/>
      <c r="AT208" s="311"/>
      <c r="AU208" s="306"/>
      <c r="AV208" s="310"/>
      <c r="AW208" s="311"/>
      <c r="AX208" s="306"/>
      <c r="AY208" s="310"/>
      <c r="AZ208" s="311"/>
      <c r="BA208" s="306"/>
      <c r="BB208" s="310"/>
      <c r="BC208" s="311"/>
      <c r="BD208" s="306"/>
      <c r="BE208" s="312"/>
      <c r="BF208" s="312"/>
      <c r="BG208" s="312"/>
      <c r="BH208" s="312"/>
      <c r="BI208" s="312"/>
      <c r="BJ208" s="312"/>
      <c r="BK208" s="312"/>
      <c r="BL208" s="312"/>
      <c r="BM208" s="312"/>
      <c r="BN208" s="312"/>
      <c r="BO208" s="312"/>
      <c r="BP208" s="312"/>
      <c r="BQ208" s="312"/>
      <c r="BR208" s="312"/>
      <c r="BS208" s="312"/>
      <c r="BT208" s="312"/>
      <c r="BU208" s="312"/>
      <c r="BV208" s="312"/>
      <c r="BW208" s="312"/>
      <c r="BX208" s="312"/>
      <c r="BY208" s="312"/>
      <c r="BZ208" s="312"/>
      <c r="CA208" s="312"/>
      <c r="CB208" s="312"/>
      <c r="CC208" s="312"/>
      <c r="CD208" s="312"/>
      <c r="CE208" s="312"/>
      <c r="CF208" s="312"/>
      <c r="CG208" s="312"/>
      <c r="CH208" s="312"/>
      <c r="CI208" s="312"/>
      <c r="CJ208" s="312"/>
      <c r="CK208" s="312"/>
      <c r="CL208" s="312"/>
      <c r="CM208" s="312"/>
      <c r="CN208" s="312"/>
      <c r="CO208" s="312"/>
      <c r="CP208" s="312"/>
      <c r="CQ208" s="312"/>
      <c r="CR208" s="312"/>
    </row>
    <row r="209" spans="1:96" s="300" customFormat="1" ht="15.75" customHeight="1">
      <c r="A209" s="313"/>
      <c r="B209" s="305" t="s">
        <v>667</v>
      </c>
      <c r="C209" s="311">
        <v>3845.5</v>
      </c>
      <c r="D209" s="311">
        <v>4076</v>
      </c>
      <c r="E209" s="306">
        <f t="shared" si="35"/>
        <v>5.994018983227148</v>
      </c>
      <c r="F209" s="310">
        <v>11745.5</v>
      </c>
      <c r="G209" s="311">
        <v>12521.5</v>
      </c>
      <c r="H209" s="306">
        <f t="shared" si="36"/>
        <v>6.606785577455196</v>
      </c>
      <c r="I209" s="310">
        <v>4887.5</v>
      </c>
      <c r="J209" s="311">
        <v>5181.5</v>
      </c>
      <c r="K209" s="306">
        <f t="shared" si="37"/>
        <v>6.015345268542199</v>
      </c>
      <c r="L209" s="310">
        <v>12819.5</v>
      </c>
      <c r="M209" s="311">
        <v>13669.5</v>
      </c>
      <c r="N209" s="306">
        <f t="shared" si="38"/>
        <v>6.630523811381099</v>
      </c>
      <c r="O209" s="310"/>
      <c r="P209" s="311"/>
      <c r="Q209" s="306"/>
      <c r="R209" s="310"/>
      <c r="S209" s="311"/>
      <c r="T209" s="306"/>
      <c r="U209" s="310"/>
      <c r="V209" s="311"/>
      <c r="W209" s="306"/>
      <c r="X209" s="310"/>
      <c r="Y209" s="311"/>
      <c r="Z209" s="306"/>
      <c r="AA209" s="310"/>
      <c r="AB209" s="311"/>
      <c r="AC209" s="306"/>
      <c r="AD209" s="310"/>
      <c r="AE209" s="311"/>
      <c r="AF209" s="306"/>
      <c r="AG209" s="310"/>
      <c r="AH209" s="311"/>
      <c r="AI209" s="306"/>
      <c r="AJ209" s="310"/>
      <c r="AK209" s="311"/>
      <c r="AL209" s="306"/>
      <c r="AM209" s="310"/>
      <c r="AN209" s="311"/>
      <c r="AO209" s="306"/>
      <c r="AP209" s="310"/>
      <c r="AQ209" s="311"/>
      <c r="AR209" s="306"/>
      <c r="AS209" s="310"/>
      <c r="AT209" s="311"/>
      <c r="AU209" s="306"/>
      <c r="AV209" s="310"/>
      <c r="AW209" s="311"/>
      <c r="AX209" s="306"/>
      <c r="AY209" s="310"/>
      <c r="AZ209" s="311"/>
      <c r="BA209" s="306"/>
      <c r="BB209" s="310"/>
      <c r="BC209" s="311"/>
      <c r="BD209" s="306"/>
      <c r="BE209" s="312"/>
      <c r="BF209" s="312"/>
      <c r="BG209" s="312"/>
      <c r="BH209" s="312"/>
      <c r="BI209" s="312"/>
      <c r="BJ209" s="312"/>
      <c r="BK209" s="312"/>
      <c r="BL209" s="312"/>
      <c r="BM209" s="312"/>
      <c r="BN209" s="312"/>
      <c r="BO209" s="312"/>
      <c r="BP209" s="312"/>
      <c r="BQ209" s="312"/>
      <c r="BR209" s="312"/>
      <c r="BS209" s="312"/>
      <c r="BT209" s="312"/>
      <c r="BU209" s="312"/>
      <c r="BV209" s="312"/>
      <c r="BW209" s="312"/>
      <c r="BX209" s="312"/>
      <c r="BY209" s="312"/>
      <c r="BZ209" s="312"/>
      <c r="CA209" s="312"/>
      <c r="CB209" s="312"/>
      <c r="CC209" s="312"/>
      <c r="CD209" s="312"/>
      <c r="CE209" s="312"/>
      <c r="CF209" s="312"/>
      <c r="CG209" s="312"/>
      <c r="CH209" s="312"/>
      <c r="CI209" s="312"/>
      <c r="CJ209" s="312"/>
      <c r="CK209" s="312"/>
      <c r="CL209" s="312"/>
      <c r="CM209" s="312"/>
      <c r="CN209" s="312"/>
      <c r="CO209" s="312"/>
      <c r="CP209" s="312"/>
      <c r="CQ209" s="312"/>
      <c r="CR209" s="312"/>
    </row>
    <row r="210" spans="1:96" s="300" customFormat="1" ht="15.75" customHeight="1">
      <c r="A210" s="313"/>
      <c r="B210" s="305" t="s">
        <v>668</v>
      </c>
      <c r="C210" s="311">
        <v>3877</v>
      </c>
      <c r="D210" s="311">
        <v>4097</v>
      </c>
      <c r="E210" s="306">
        <f t="shared" si="35"/>
        <v>5.674490585504255</v>
      </c>
      <c r="F210" s="310">
        <v>11809</v>
      </c>
      <c r="G210" s="311">
        <v>12585</v>
      </c>
      <c r="H210" s="306">
        <f t="shared" si="36"/>
        <v>6.571259209077822</v>
      </c>
      <c r="I210" s="310">
        <v>4951</v>
      </c>
      <c r="J210" s="311">
        <v>5245</v>
      </c>
      <c r="K210" s="306">
        <f t="shared" si="37"/>
        <v>5.938194304180974</v>
      </c>
      <c r="L210" s="310">
        <v>12883</v>
      </c>
      <c r="M210" s="311">
        <v>13733</v>
      </c>
      <c r="N210" s="306">
        <f t="shared" si="38"/>
        <v>6.597842117519212</v>
      </c>
      <c r="O210" s="310"/>
      <c r="P210" s="311"/>
      <c r="Q210" s="306"/>
      <c r="R210" s="310"/>
      <c r="S210" s="311"/>
      <c r="T210" s="306"/>
      <c r="U210" s="310"/>
      <c r="V210" s="311"/>
      <c r="W210" s="306"/>
      <c r="X210" s="310"/>
      <c r="Y210" s="311"/>
      <c r="Z210" s="306"/>
      <c r="AA210" s="310"/>
      <c r="AB210" s="311"/>
      <c r="AC210" s="306"/>
      <c r="AD210" s="310"/>
      <c r="AE210" s="311"/>
      <c r="AF210" s="306"/>
      <c r="AG210" s="310"/>
      <c r="AH210" s="311"/>
      <c r="AI210" s="306"/>
      <c r="AJ210" s="310"/>
      <c r="AK210" s="311"/>
      <c r="AL210" s="306"/>
      <c r="AM210" s="310"/>
      <c r="AN210" s="311"/>
      <c r="AO210" s="306"/>
      <c r="AP210" s="310"/>
      <c r="AQ210" s="311"/>
      <c r="AR210" s="306"/>
      <c r="AS210" s="310"/>
      <c r="AT210" s="311"/>
      <c r="AU210" s="306"/>
      <c r="AV210" s="310"/>
      <c r="AW210" s="311"/>
      <c r="AX210" s="306"/>
      <c r="AY210" s="310"/>
      <c r="AZ210" s="311"/>
      <c r="BA210" s="306"/>
      <c r="BB210" s="310"/>
      <c r="BC210" s="311"/>
      <c r="BD210" s="306"/>
      <c r="BE210" s="312"/>
      <c r="BF210" s="312"/>
      <c r="BG210" s="312"/>
      <c r="BH210" s="312"/>
      <c r="BI210" s="312"/>
      <c r="BJ210" s="312"/>
      <c r="BK210" s="312"/>
      <c r="BL210" s="312"/>
      <c r="BM210" s="312"/>
      <c r="BN210" s="312"/>
      <c r="BO210" s="312"/>
      <c r="BP210" s="312"/>
      <c r="BQ210" s="312"/>
      <c r="BR210" s="312"/>
      <c r="BS210" s="312"/>
      <c r="BT210" s="312"/>
      <c r="BU210" s="312"/>
      <c r="BV210" s="312"/>
      <c r="BW210" s="312"/>
      <c r="BX210" s="312"/>
      <c r="BY210" s="312"/>
      <c r="BZ210" s="312"/>
      <c r="CA210" s="312"/>
      <c r="CB210" s="312"/>
      <c r="CC210" s="312"/>
      <c r="CD210" s="312"/>
      <c r="CE210" s="312"/>
      <c r="CF210" s="312"/>
      <c r="CG210" s="312"/>
      <c r="CH210" s="312"/>
      <c r="CI210" s="312"/>
      <c r="CJ210" s="312"/>
      <c r="CK210" s="312"/>
      <c r="CL210" s="312"/>
      <c r="CM210" s="312"/>
      <c r="CN210" s="312"/>
      <c r="CO210" s="312"/>
      <c r="CP210" s="312"/>
      <c r="CQ210" s="312"/>
      <c r="CR210" s="312"/>
    </row>
    <row r="211" spans="1:96" s="300" customFormat="1" ht="15.75" customHeight="1">
      <c r="A211" s="313"/>
      <c r="B211" s="305" t="s">
        <v>669</v>
      </c>
      <c r="C211" s="311">
        <v>3830</v>
      </c>
      <c r="D211" s="311">
        <v>4134</v>
      </c>
      <c r="E211" s="306">
        <f t="shared" si="35"/>
        <v>7.93733681462141</v>
      </c>
      <c r="F211" s="310">
        <v>11480</v>
      </c>
      <c r="G211" s="311">
        <v>12388</v>
      </c>
      <c r="H211" s="306">
        <f t="shared" si="36"/>
        <v>7.909407665505226</v>
      </c>
      <c r="I211" s="310">
        <v>4436</v>
      </c>
      <c r="J211" s="311">
        <v>4788</v>
      </c>
      <c r="K211" s="306">
        <f t="shared" si="37"/>
        <v>7.93507664562669</v>
      </c>
      <c r="L211" s="310">
        <v>12086</v>
      </c>
      <c r="M211" s="311">
        <v>13042</v>
      </c>
      <c r="N211" s="306">
        <f t="shared" si="38"/>
        <v>7.909978487506206</v>
      </c>
      <c r="O211" s="310"/>
      <c r="P211" s="311"/>
      <c r="Q211" s="306"/>
      <c r="R211" s="310"/>
      <c r="S211" s="311"/>
      <c r="T211" s="306"/>
      <c r="U211" s="310"/>
      <c r="V211" s="311"/>
      <c r="W211" s="306"/>
      <c r="X211" s="310"/>
      <c r="Y211" s="311"/>
      <c r="Z211" s="306"/>
      <c r="AA211" s="310"/>
      <c r="AB211" s="311"/>
      <c r="AC211" s="306"/>
      <c r="AD211" s="310"/>
      <c r="AE211" s="311"/>
      <c r="AF211" s="306"/>
      <c r="AG211" s="310"/>
      <c r="AH211" s="311"/>
      <c r="AI211" s="306"/>
      <c r="AJ211" s="310"/>
      <c r="AK211" s="311"/>
      <c r="AL211" s="306"/>
      <c r="AM211" s="310"/>
      <c r="AN211" s="311"/>
      <c r="AO211" s="306"/>
      <c r="AP211" s="310"/>
      <c r="AQ211" s="311"/>
      <c r="AR211" s="306"/>
      <c r="AS211" s="310"/>
      <c r="AT211" s="311"/>
      <c r="AU211" s="306"/>
      <c r="AV211" s="310"/>
      <c r="AW211" s="311"/>
      <c r="AX211" s="306"/>
      <c r="AY211" s="310"/>
      <c r="AZ211" s="311"/>
      <c r="BA211" s="306"/>
      <c r="BB211" s="310"/>
      <c r="BC211" s="311"/>
      <c r="BD211" s="306"/>
      <c r="BE211" s="312"/>
      <c r="BF211" s="312"/>
      <c r="BG211" s="312"/>
      <c r="BH211" s="312"/>
      <c r="BI211" s="312"/>
      <c r="BJ211" s="312"/>
      <c r="BK211" s="312"/>
      <c r="BL211" s="312"/>
      <c r="BM211" s="312"/>
      <c r="BN211" s="312"/>
      <c r="BO211" s="312"/>
      <c r="BP211" s="312"/>
      <c r="BQ211" s="312"/>
      <c r="BR211" s="312"/>
      <c r="BS211" s="312"/>
      <c r="BT211" s="312"/>
      <c r="BU211" s="312"/>
      <c r="BV211" s="312"/>
      <c r="BW211" s="312"/>
      <c r="BX211" s="312"/>
      <c r="BY211" s="312"/>
      <c r="BZ211" s="312"/>
      <c r="CA211" s="312"/>
      <c r="CB211" s="312"/>
      <c r="CC211" s="312"/>
      <c r="CD211" s="312"/>
      <c r="CE211" s="312"/>
      <c r="CF211" s="312"/>
      <c r="CG211" s="312"/>
      <c r="CH211" s="312"/>
      <c r="CI211" s="312"/>
      <c r="CJ211" s="312"/>
      <c r="CK211" s="312"/>
      <c r="CL211" s="312"/>
      <c r="CM211" s="312"/>
      <c r="CN211" s="312"/>
      <c r="CO211" s="312"/>
      <c r="CP211" s="312"/>
      <c r="CQ211" s="312"/>
      <c r="CR211" s="312"/>
    </row>
    <row r="212" spans="1:96" s="300" customFormat="1" ht="15.75" customHeight="1">
      <c r="A212" s="313"/>
      <c r="B212" s="305" t="s">
        <v>670</v>
      </c>
      <c r="E212" s="306">
        <f t="shared" si="35"/>
        <v>0</v>
      </c>
      <c r="F212" s="313"/>
      <c r="H212" s="306">
        <f t="shared" si="36"/>
        <v>0</v>
      </c>
      <c r="I212" s="310"/>
      <c r="J212" s="311"/>
      <c r="K212" s="306">
        <f t="shared" si="37"/>
        <v>0</v>
      </c>
      <c r="L212" s="310"/>
      <c r="M212" s="311"/>
      <c r="N212" s="306">
        <f t="shared" si="38"/>
        <v>0</v>
      </c>
      <c r="O212" s="310"/>
      <c r="P212" s="311"/>
      <c r="Q212" s="306"/>
      <c r="R212" s="310"/>
      <c r="S212" s="311"/>
      <c r="T212" s="306"/>
      <c r="U212" s="310"/>
      <c r="V212" s="311"/>
      <c r="W212" s="306"/>
      <c r="X212" s="310"/>
      <c r="Y212" s="311"/>
      <c r="Z212" s="306"/>
      <c r="AA212" s="310"/>
      <c r="AB212" s="311"/>
      <c r="AC212" s="306"/>
      <c r="AD212" s="310"/>
      <c r="AE212" s="311"/>
      <c r="AF212" s="306"/>
      <c r="AG212" s="310"/>
      <c r="AH212" s="311"/>
      <c r="AI212" s="306"/>
      <c r="AJ212" s="310"/>
      <c r="AK212" s="311"/>
      <c r="AL212" s="306"/>
      <c r="AM212" s="310"/>
      <c r="AN212" s="311"/>
      <c r="AO212" s="306"/>
      <c r="AP212" s="310"/>
      <c r="AQ212" s="311"/>
      <c r="AR212" s="306"/>
      <c r="AS212" s="310"/>
      <c r="AT212" s="311"/>
      <c r="AU212" s="306"/>
      <c r="AV212" s="310"/>
      <c r="AW212" s="311"/>
      <c r="AX212" s="306"/>
      <c r="AY212" s="310"/>
      <c r="AZ212" s="311"/>
      <c r="BA212" s="306"/>
      <c r="BB212" s="310"/>
      <c r="BC212" s="311"/>
      <c r="BD212" s="306"/>
      <c r="BE212" s="312"/>
      <c r="BF212" s="312"/>
      <c r="BG212" s="312"/>
      <c r="BH212" s="312"/>
      <c r="BI212" s="312"/>
      <c r="BJ212" s="312"/>
      <c r="BK212" s="312"/>
      <c r="BL212" s="312"/>
      <c r="BM212" s="312"/>
      <c r="BN212" s="312"/>
      <c r="BO212" s="312"/>
      <c r="BP212" s="312"/>
      <c r="BQ212" s="312"/>
      <c r="BR212" s="312"/>
      <c r="BS212" s="312"/>
      <c r="BT212" s="312"/>
      <c r="BU212" s="312"/>
      <c r="BV212" s="312"/>
      <c r="BW212" s="312"/>
      <c r="BX212" s="312"/>
      <c r="BY212" s="312"/>
      <c r="BZ212" s="312"/>
      <c r="CA212" s="312"/>
      <c r="CB212" s="312"/>
      <c r="CC212" s="312"/>
      <c r="CD212" s="312"/>
      <c r="CE212" s="312"/>
      <c r="CF212" s="312"/>
      <c r="CG212" s="312"/>
      <c r="CH212" s="312"/>
      <c r="CI212" s="312"/>
      <c r="CJ212" s="312"/>
      <c r="CK212" s="312"/>
      <c r="CL212" s="312"/>
      <c r="CM212" s="312"/>
      <c r="CN212" s="312"/>
      <c r="CO212" s="312"/>
      <c r="CP212" s="312"/>
      <c r="CQ212" s="312"/>
      <c r="CR212" s="312"/>
    </row>
    <row r="213" spans="1:96" s="300" customFormat="1" ht="15.75" customHeight="1">
      <c r="A213" s="313"/>
      <c r="B213" s="305" t="s">
        <v>1041</v>
      </c>
      <c r="C213" s="311">
        <v>3852</v>
      </c>
      <c r="D213" s="311">
        <v>4134</v>
      </c>
      <c r="E213" s="306">
        <f t="shared" si="35"/>
        <v>7.320872274143301</v>
      </c>
      <c r="F213" s="310">
        <v>11771</v>
      </c>
      <c r="G213" s="311">
        <v>12547</v>
      </c>
      <c r="H213" s="306">
        <f t="shared" si="36"/>
        <v>6.592473026930593</v>
      </c>
      <c r="I213" s="310">
        <v>4913</v>
      </c>
      <c r="J213" s="311">
        <v>5207</v>
      </c>
      <c r="K213" s="306">
        <f t="shared" si="37"/>
        <v>5.984123753307551</v>
      </c>
      <c r="L213" s="310">
        <v>12845</v>
      </c>
      <c r="M213" s="311">
        <v>13695</v>
      </c>
      <c r="N213" s="306">
        <f t="shared" si="38"/>
        <v>6.617360840794083</v>
      </c>
      <c r="O213" s="310"/>
      <c r="P213" s="311"/>
      <c r="Q213" s="306"/>
      <c r="R213" s="310"/>
      <c r="S213" s="311"/>
      <c r="T213" s="306"/>
      <c r="U213" s="310"/>
      <c r="V213" s="311"/>
      <c r="W213" s="306"/>
      <c r="X213" s="310"/>
      <c r="Y213" s="311"/>
      <c r="Z213" s="306"/>
      <c r="AA213" s="310"/>
      <c r="AB213" s="311"/>
      <c r="AC213" s="306"/>
      <c r="AD213" s="310"/>
      <c r="AE213" s="311"/>
      <c r="AF213" s="306"/>
      <c r="AG213" s="310"/>
      <c r="AH213" s="311"/>
      <c r="AI213" s="306"/>
      <c r="AJ213" s="310"/>
      <c r="AK213" s="311"/>
      <c r="AL213" s="306"/>
      <c r="AM213" s="310"/>
      <c r="AN213" s="311"/>
      <c r="AO213" s="306"/>
      <c r="AP213" s="310"/>
      <c r="AQ213" s="311"/>
      <c r="AR213" s="306"/>
      <c r="AS213" s="310"/>
      <c r="AT213" s="311"/>
      <c r="AU213" s="306"/>
      <c r="AV213" s="310"/>
      <c r="AW213" s="311"/>
      <c r="AX213" s="306"/>
      <c r="AY213" s="310"/>
      <c r="AZ213" s="311"/>
      <c r="BA213" s="306"/>
      <c r="BB213" s="310"/>
      <c r="BC213" s="311"/>
      <c r="BD213" s="306"/>
      <c r="BE213" s="312"/>
      <c r="BF213" s="312"/>
      <c r="BG213" s="312"/>
      <c r="BH213" s="312"/>
      <c r="BI213" s="312"/>
      <c r="BJ213" s="312"/>
      <c r="BK213" s="312"/>
      <c r="BL213" s="312"/>
      <c r="BM213" s="312"/>
      <c r="BN213" s="312"/>
      <c r="BO213" s="312"/>
      <c r="BP213" s="312"/>
      <c r="BQ213" s="312"/>
      <c r="BR213" s="312"/>
      <c r="BS213" s="312"/>
      <c r="BT213" s="312"/>
      <c r="BU213" s="312"/>
      <c r="BV213" s="312"/>
      <c r="BW213" s="312"/>
      <c r="BX213" s="312"/>
      <c r="BY213" s="312"/>
      <c r="BZ213" s="312"/>
      <c r="CA213" s="312"/>
      <c r="CB213" s="312"/>
      <c r="CC213" s="312"/>
      <c r="CD213" s="312"/>
      <c r="CE213" s="312"/>
      <c r="CF213" s="312"/>
      <c r="CG213" s="312"/>
      <c r="CH213" s="312"/>
      <c r="CI213" s="312"/>
      <c r="CJ213" s="312"/>
      <c r="CK213" s="312"/>
      <c r="CL213" s="312"/>
      <c r="CM213" s="312"/>
      <c r="CN213" s="312"/>
      <c r="CO213" s="312"/>
      <c r="CP213" s="312"/>
      <c r="CQ213" s="312"/>
      <c r="CR213" s="312"/>
    </row>
    <row r="214" spans="1:96" s="300" customFormat="1" ht="15.75" customHeight="1">
      <c r="A214" s="313"/>
      <c r="B214" s="305" t="s">
        <v>671</v>
      </c>
      <c r="C214" s="311"/>
      <c r="D214" s="311"/>
      <c r="E214" s="306">
        <f t="shared" si="35"/>
        <v>0</v>
      </c>
      <c r="F214" s="310"/>
      <c r="G214" s="311"/>
      <c r="H214" s="306">
        <f t="shared" si="36"/>
        <v>0</v>
      </c>
      <c r="I214" s="310"/>
      <c r="J214" s="311"/>
      <c r="K214" s="306"/>
      <c r="L214" s="310"/>
      <c r="M214" s="311"/>
      <c r="N214" s="306"/>
      <c r="O214" s="310"/>
      <c r="P214" s="311"/>
      <c r="Q214" s="306"/>
      <c r="R214" s="310"/>
      <c r="S214" s="311"/>
      <c r="T214" s="306"/>
      <c r="U214" s="310"/>
      <c r="V214" s="311"/>
      <c r="W214" s="306"/>
      <c r="X214" s="310"/>
      <c r="Y214" s="311"/>
      <c r="Z214" s="306"/>
      <c r="AA214" s="310"/>
      <c r="AB214" s="311"/>
      <c r="AC214" s="306"/>
      <c r="AD214" s="310"/>
      <c r="AE214" s="311"/>
      <c r="AF214" s="306"/>
      <c r="AG214" s="310"/>
      <c r="AH214" s="311"/>
      <c r="AI214" s="306"/>
      <c r="AJ214" s="310"/>
      <c r="AK214" s="311"/>
      <c r="AL214" s="306"/>
      <c r="AM214" s="310"/>
      <c r="AN214" s="311"/>
      <c r="AO214" s="306"/>
      <c r="AP214" s="310"/>
      <c r="AQ214" s="311"/>
      <c r="AR214" s="306"/>
      <c r="AS214" s="310"/>
      <c r="AT214" s="311"/>
      <c r="AU214" s="306"/>
      <c r="AV214" s="310"/>
      <c r="AW214" s="311"/>
      <c r="AX214" s="306"/>
      <c r="AY214" s="310"/>
      <c r="AZ214" s="311"/>
      <c r="BA214" s="306"/>
      <c r="BB214" s="310"/>
      <c r="BC214" s="311"/>
      <c r="BD214" s="306"/>
      <c r="BE214" s="312"/>
      <c r="BF214" s="312"/>
      <c r="BG214" s="312"/>
      <c r="BH214" s="312"/>
      <c r="BI214" s="312"/>
      <c r="BJ214" s="312"/>
      <c r="BK214" s="312"/>
      <c r="BL214" s="312"/>
      <c r="BM214" s="312"/>
      <c r="BN214" s="312"/>
      <c r="BO214" s="312"/>
      <c r="BP214" s="312"/>
      <c r="BQ214" s="312"/>
      <c r="BR214" s="312"/>
      <c r="BS214" s="312"/>
      <c r="BT214" s="312"/>
      <c r="BU214" s="312"/>
      <c r="BV214" s="312"/>
      <c r="BW214" s="312"/>
      <c r="BX214" s="312"/>
      <c r="BY214" s="312"/>
      <c r="BZ214" s="312"/>
      <c r="CA214" s="312"/>
      <c r="CB214" s="312"/>
      <c r="CC214" s="312"/>
      <c r="CD214" s="312"/>
      <c r="CE214" s="312"/>
      <c r="CF214" s="312"/>
      <c r="CG214" s="312"/>
      <c r="CH214" s="312"/>
      <c r="CI214" s="312"/>
      <c r="CJ214" s="312"/>
      <c r="CK214" s="312"/>
      <c r="CL214" s="312"/>
      <c r="CM214" s="312"/>
      <c r="CN214" s="312"/>
      <c r="CO214" s="312"/>
      <c r="CP214" s="312"/>
      <c r="CQ214" s="312"/>
      <c r="CR214" s="312"/>
    </row>
    <row r="215" spans="1:96" s="300" customFormat="1" ht="15.75" customHeight="1">
      <c r="A215" s="313"/>
      <c r="B215" s="305" t="s">
        <v>672</v>
      </c>
      <c r="C215" s="311">
        <v>2085</v>
      </c>
      <c r="D215" s="311">
        <v>2213</v>
      </c>
      <c r="E215" s="306">
        <f t="shared" si="35"/>
        <v>6.139088729016787</v>
      </c>
      <c r="F215" s="310">
        <v>7549</v>
      </c>
      <c r="G215" s="311">
        <v>8059</v>
      </c>
      <c r="H215" s="306">
        <f t="shared" si="36"/>
        <v>6.755861703536892</v>
      </c>
      <c r="I215" s="310"/>
      <c r="J215" s="311"/>
      <c r="K215" s="306"/>
      <c r="L215" s="310"/>
      <c r="M215" s="311"/>
      <c r="N215" s="306"/>
      <c r="O215" s="310"/>
      <c r="P215" s="311"/>
      <c r="Q215" s="306"/>
      <c r="R215" s="310"/>
      <c r="S215" s="311"/>
      <c r="T215" s="306"/>
      <c r="U215" s="310"/>
      <c r="V215" s="311"/>
      <c r="W215" s="306"/>
      <c r="X215" s="310"/>
      <c r="Y215" s="311"/>
      <c r="Z215" s="306"/>
      <c r="AA215" s="310"/>
      <c r="AB215" s="311"/>
      <c r="AC215" s="306"/>
      <c r="AD215" s="310"/>
      <c r="AE215" s="311"/>
      <c r="AF215" s="306"/>
      <c r="AG215" s="310"/>
      <c r="AH215" s="311"/>
      <c r="AI215" s="306"/>
      <c r="AJ215" s="310"/>
      <c r="AK215" s="311"/>
      <c r="AL215" s="306"/>
      <c r="AM215" s="310"/>
      <c r="AN215" s="311"/>
      <c r="AO215" s="306"/>
      <c r="AP215" s="310"/>
      <c r="AQ215" s="311"/>
      <c r="AR215" s="306"/>
      <c r="AS215" s="310"/>
      <c r="AT215" s="311"/>
      <c r="AU215" s="306"/>
      <c r="AV215" s="310"/>
      <c r="AW215" s="311"/>
      <c r="AX215" s="306"/>
      <c r="AY215" s="310"/>
      <c r="AZ215" s="311"/>
      <c r="BA215" s="306"/>
      <c r="BB215" s="310"/>
      <c r="BC215" s="311"/>
      <c r="BD215" s="306"/>
      <c r="BE215" s="312"/>
      <c r="BF215" s="312"/>
      <c r="BG215" s="312"/>
      <c r="BH215" s="312"/>
      <c r="BI215" s="312"/>
      <c r="BJ215" s="312"/>
      <c r="BK215" s="312"/>
      <c r="BL215" s="312"/>
      <c r="BM215" s="312"/>
      <c r="BN215" s="312"/>
      <c r="BO215" s="312"/>
      <c r="BP215" s="312"/>
      <c r="BQ215" s="312"/>
      <c r="BR215" s="312"/>
      <c r="BS215" s="312"/>
      <c r="BT215" s="312"/>
      <c r="BU215" s="312"/>
      <c r="BV215" s="312"/>
      <c r="BW215" s="312"/>
      <c r="BX215" s="312"/>
      <c r="BY215" s="312"/>
      <c r="BZ215" s="312"/>
      <c r="CA215" s="312"/>
      <c r="CB215" s="312"/>
      <c r="CC215" s="312"/>
      <c r="CD215" s="312"/>
      <c r="CE215" s="312"/>
      <c r="CF215" s="312"/>
      <c r="CG215" s="312"/>
      <c r="CH215" s="312"/>
      <c r="CI215" s="312"/>
      <c r="CJ215" s="312"/>
      <c r="CK215" s="312"/>
      <c r="CL215" s="312"/>
      <c r="CM215" s="312"/>
      <c r="CN215" s="312"/>
      <c r="CO215" s="312"/>
      <c r="CP215" s="312"/>
      <c r="CQ215" s="312"/>
      <c r="CR215" s="312"/>
    </row>
    <row r="216" spans="1:96" s="300" customFormat="1" ht="15.75" customHeight="1">
      <c r="A216" s="313"/>
      <c r="B216" s="305" t="s">
        <v>673</v>
      </c>
      <c r="C216" s="311">
        <v>2059</v>
      </c>
      <c r="D216" s="311">
        <v>2187</v>
      </c>
      <c r="E216" s="306">
        <f t="shared" si="35"/>
        <v>6.216610004856726</v>
      </c>
      <c r="F216" s="310">
        <v>7523</v>
      </c>
      <c r="G216" s="311">
        <v>8033</v>
      </c>
      <c r="H216" s="306">
        <f t="shared" si="36"/>
        <v>6.779210421374452</v>
      </c>
      <c r="I216" s="310"/>
      <c r="J216" s="311"/>
      <c r="K216" s="306"/>
      <c r="L216" s="310"/>
      <c r="M216" s="311"/>
      <c r="N216" s="306"/>
      <c r="O216" s="310"/>
      <c r="P216" s="311"/>
      <c r="Q216" s="306"/>
      <c r="R216" s="310"/>
      <c r="S216" s="311"/>
      <c r="T216" s="306"/>
      <c r="U216" s="310"/>
      <c r="V216" s="311"/>
      <c r="W216" s="306"/>
      <c r="X216" s="310"/>
      <c r="Y216" s="311"/>
      <c r="Z216" s="306"/>
      <c r="AA216" s="310"/>
      <c r="AB216" s="311"/>
      <c r="AC216" s="306"/>
      <c r="AD216" s="310"/>
      <c r="AE216" s="311"/>
      <c r="AF216" s="306"/>
      <c r="AG216" s="310"/>
      <c r="AH216" s="311"/>
      <c r="AI216" s="306"/>
      <c r="AJ216" s="310"/>
      <c r="AK216" s="311"/>
      <c r="AL216" s="306"/>
      <c r="AM216" s="310"/>
      <c r="AN216" s="311"/>
      <c r="AO216" s="306"/>
      <c r="AP216" s="310"/>
      <c r="AQ216" s="311"/>
      <c r="AR216" s="306"/>
      <c r="AS216" s="310"/>
      <c r="AT216" s="311"/>
      <c r="AU216" s="306"/>
      <c r="AV216" s="310"/>
      <c r="AW216" s="311"/>
      <c r="AX216" s="306"/>
      <c r="AY216" s="310"/>
      <c r="AZ216" s="311"/>
      <c r="BA216" s="306"/>
      <c r="BB216" s="310"/>
      <c r="BC216" s="311"/>
      <c r="BD216" s="306"/>
      <c r="BE216" s="312"/>
      <c r="BF216" s="312"/>
      <c r="BG216" s="312"/>
      <c r="BH216" s="312"/>
      <c r="BI216" s="312"/>
      <c r="BJ216" s="312"/>
      <c r="BK216" s="312"/>
      <c r="BL216" s="312"/>
      <c r="BM216" s="312"/>
      <c r="BN216" s="312"/>
      <c r="BO216" s="312"/>
      <c r="BP216" s="312"/>
      <c r="BQ216" s="312"/>
      <c r="BR216" s="312"/>
      <c r="BS216" s="312"/>
      <c r="BT216" s="312"/>
      <c r="BU216" s="312"/>
      <c r="BV216" s="312"/>
      <c r="BW216" s="312"/>
      <c r="BX216" s="312"/>
      <c r="BY216" s="312"/>
      <c r="BZ216" s="312"/>
      <c r="CA216" s="312"/>
      <c r="CB216" s="312"/>
      <c r="CC216" s="312"/>
      <c r="CD216" s="312"/>
      <c r="CE216" s="312"/>
      <c r="CF216" s="312"/>
      <c r="CG216" s="312"/>
      <c r="CH216" s="312"/>
      <c r="CI216" s="312"/>
      <c r="CJ216" s="312"/>
      <c r="CK216" s="312"/>
      <c r="CL216" s="312"/>
      <c r="CM216" s="312"/>
      <c r="CN216" s="312"/>
      <c r="CO216" s="312"/>
      <c r="CP216" s="312"/>
      <c r="CQ216" s="312"/>
      <c r="CR216" s="312"/>
    </row>
    <row r="217" spans="1:96" s="300" customFormat="1" ht="15.75" customHeight="1">
      <c r="A217" s="313"/>
      <c r="B217" s="305" t="s">
        <v>76</v>
      </c>
      <c r="C217" s="311">
        <v>2055</v>
      </c>
      <c r="D217" s="311">
        <v>2183</v>
      </c>
      <c r="E217" s="306">
        <f t="shared" si="35"/>
        <v>6.228710462287105</v>
      </c>
      <c r="F217" s="310">
        <v>7519</v>
      </c>
      <c r="G217" s="311">
        <v>8029</v>
      </c>
      <c r="H217" s="306">
        <f t="shared" si="36"/>
        <v>6.782816863944674</v>
      </c>
      <c r="I217" s="310"/>
      <c r="J217" s="311"/>
      <c r="K217" s="306"/>
      <c r="L217" s="310"/>
      <c r="M217" s="311"/>
      <c r="N217" s="306"/>
      <c r="O217" s="310"/>
      <c r="P217" s="311"/>
      <c r="Q217" s="306"/>
      <c r="R217" s="310"/>
      <c r="S217" s="311"/>
      <c r="T217" s="306"/>
      <c r="U217" s="310"/>
      <c r="V217" s="311"/>
      <c r="W217" s="306"/>
      <c r="X217" s="310"/>
      <c r="Y217" s="311"/>
      <c r="Z217" s="306"/>
      <c r="AA217" s="310"/>
      <c r="AB217" s="311"/>
      <c r="AC217" s="306"/>
      <c r="AD217" s="310"/>
      <c r="AE217" s="311"/>
      <c r="AF217" s="306"/>
      <c r="AG217" s="310"/>
      <c r="AH217" s="311"/>
      <c r="AI217" s="306"/>
      <c r="AJ217" s="310"/>
      <c r="AK217" s="311"/>
      <c r="AL217" s="306"/>
      <c r="AM217" s="310"/>
      <c r="AN217" s="311"/>
      <c r="AO217" s="306"/>
      <c r="AP217" s="310"/>
      <c r="AQ217" s="311"/>
      <c r="AR217" s="306"/>
      <c r="AS217" s="310"/>
      <c r="AT217" s="311"/>
      <c r="AU217" s="306"/>
      <c r="AV217" s="310"/>
      <c r="AW217" s="311"/>
      <c r="AX217" s="306"/>
      <c r="AY217" s="310"/>
      <c r="AZ217" s="311"/>
      <c r="BA217" s="306"/>
      <c r="BB217" s="310"/>
      <c r="BC217" s="311"/>
      <c r="BD217" s="306"/>
      <c r="BE217" s="312"/>
      <c r="BF217" s="312"/>
      <c r="BG217" s="312"/>
      <c r="BH217" s="312"/>
      <c r="BI217" s="312"/>
      <c r="BJ217" s="312"/>
      <c r="BK217" s="312"/>
      <c r="BL217" s="312"/>
      <c r="BM217" s="312"/>
      <c r="BN217" s="312"/>
      <c r="BO217" s="312"/>
      <c r="BP217" s="312"/>
      <c r="BQ217" s="312"/>
      <c r="BR217" s="312"/>
      <c r="BS217" s="312"/>
      <c r="BT217" s="312"/>
      <c r="BU217" s="312"/>
      <c r="BV217" s="312"/>
      <c r="BW217" s="312"/>
      <c r="BX217" s="312"/>
      <c r="BY217" s="312"/>
      <c r="BZ217" s="312"/>
      <c r="CA217" s="312"/>
      <c r="CB217" s="312"/>
      <c r="CC217" s="312"/>
      <c r="CD217" s="312"/>
      <c r="CE217" s="312"/>
      <c r="CF217" s="312"/>
      <c r="CG217" s="312"/>
      <c r="CH217" s="312"/>
      <c r="CI217" s="312"/>
      <c r="CJ217" s="312"/>
      <c r="CK217" s="312"/>
      <c r="CL217" s="312"/>
      <c r="CM217" s="312"/>
      <c r="CN217" s="312"/>
      <c r="CO217" s="312"/>
      <c r="CP217" s="312"/>
      <c r="CQ217" s="312"/>
      <c r="CR217" s="312"/>
    </row>
    <row r="218" spans="1:96" s="300" customFormat="1" ht="15.75" customHeight="1" thickBot="1">
      <c r="A218" s="313"/>
      <c r="B218" s="305" t="s">
        <v>473</v>
      </c>
      <c r="C218" s="311">
        <v>2059</v>
      </c>
      <c r="D218" s="311">
        <v>2187</v>
      </c>
      <c r="E218" s="306">
        <f t="shared" si="35"/>
        <v>6.216610004856726</v>
      </c>
      <c r="F218" s="310">
        <v>7523</v>
      </c>
      <c r="G218" s="311">
        <v>8033</v>
      </c>
      <c r="H218" s="306">
        <f t="shared" si="36"/>
        <v>6.779210421374452</v>
      </c>
      <c r="I218" s="310"/>
      <c r="J218" s="311"/>
      <c r="K218" s="306"/>
      <c r="L218" s="310"/>
      <c r="M218" s="311"/>
      <c r="N218" s="306"/>
      <c r="O218" s="310"/>
      <c r="P218" s="311"/>
      <c r="Q218" s="306"/>
      <c r="R218" s="310"/>
      <c r="S218" s="311"/>
      <c r="T218" s="306"/>
      <c r="U218" s="310"/>
      <c r="V218" s="311"/>
      <c r="W218" s="306"/>
      <c r="X218" s="310"/>
      <c r="Y218" s="311"/>
      <c r="Z218" s="306"/>
      <c r="AA218" s="310"/>
      <c r="AB218" s="311"/>
      <c r="AC218" s="306"/>
      <c r="AD218" s="310"/>
      <c r="AE218" s="311"/>
      <c r="AF218" s="306"/>
      <c r="AG218" s="310"/>
      <c r="AH218" s="311"/>
      <c r="AI218" s="306"/>
      <c r="AJ218" s="310"/>
      <c r="AK218" s="311"/>
      <c r="AL218" s="306"/>
      <c r="AM218" s="310"/>
      <c r="AN218" s="311"/>
      <c r="AO218" s="306"/>
      <c r="AP218" s="310"/>
      <c r="AQ218" s="311"/>
      <c r="AR218" s="306"/>
      <c r="AS218" s="310"/>
      <c r="AT218" s="311"/>
      <c r="AU218" s="306"/>
      <c r="AV218" s="310"/>
      <c r="AW218" s="311"/>
      <c r="AX218" s="306"/>
      <c r="AY218" s="310"/>
      <c r="AZ218" s="311"/>
      <c r="BA218" s="306"/>
      <c r="BB218" s="310"/>
      <c r="BC218" s="311"/>
      <c r="BD218" s="306"/>
      <c r="BE218" s="312"/>
      <c r="BF218" s="312"/>
      <c r="BG218" s="312"/>
      <c r="BH218" s="312"/>
      <c r="BI218" s="312"/>
      <c r="BJ218" s="312"/>
      <c r="BK218" s="312"/>
      <c r="BL218" s="312"/>
      <c r="BM218" s="312"/>
      <c r="BN218" s="312"/>
      <c r="BO218" s="312"/>
      <c r="BP218" s="312"/>
      <c r="BQ218" s="312"/>
      <c r="BR218" s="312"/>
      <c r="BS218" s="312"/>
      <c r="BT218" s="312"/>
      <c r="BU218" s="312"/>
      <c r="BV218" s="312"/>
      <c r="BW218" s="312"/>
      <c r="BX218" s="312"/>
      <c r="BY218" s="312"/>
      <c r="BZ218" s="312"/>
      <c r="CA218" s="312"/>
      <c r="CB218" s="312"/>
      <c r="CC218" s="312"/>
      <c r="CD218" s="312"/>
      <c r="CE218" s="312"/>
      <c r="CF218" s="312"/>
      <c r="CG218" s="312"/>
      <c r="CH218" s="312"/>
      <c r="CI218" s="312"/>
      <c r="CJ218" s="312"/>
      <c r="CK218" s="312"/>
      <c r="CL218" s="312"/>
      <c r="CM218" s="312"/>
      <c r="CN218" s="312"/>
      <c r="CO218" s="312"/>
      <c r="CP218" s="312"/>
      <c r="CQ218" s="312"/>
      <c r="CR218" s="312"/>
    </row>
    <row r="219" spans="1:96" s="300" customFormat="1" ht="15.75" customHeight="1" thickBot="1">
      <c r="A219" s="313"/>
      <c r="B219" s="305" t="s">
        <v>77</v>
      </c>
      <c r="C219" s="308">
        <v>1548</v>
      </c>
      <c r="D219" s="308">
        <v>1752</v>
      </c>
      <c r="E219" s="309">
        <f>IF(C219&gt;0,(((D219-C219)/C219)*100),0)</f>
        <v>13.178294573643413</v>
      </c>
      <c r="F219" s="310"/>
      <c r="G219" s="311"/>
      <c r="H219" s="306"/>
      <c r="I219" s="310"/>
      <c r="J219" s="311"/>
      <c r="K219" s="306"/>
      <c r="L219" s="310"/>
      <c r="M219" s="311"/>
      <c r="N219" s="306"/>
      <c r="O219" s="310"/>
      <c r="P219" s="311"/>
      <c r="Q219" s="306"/>
      <c r="R219" s="310"/>
      <c r="S219" s="311"/>
      <c r="T219" s="306"/>
      <c r="U219" s="310"/>
      <c r="V219" s="311"/>
      <c r="W219" s="306"/>
      <c r="X219" s="310"/>
      <c r="Y219" s="311"/>
      <c r="Z219" s="306"/>
      <c r="AA219" s="310"/>
      <c r="AB219" s="311"/>
      <c r="AC219" s="306"/>
      <c r="AD219" s="310"/>
      <c r="AE219" s="311"/>
      <c r="AF219" s="306"/>
      <c r="AG219" s="310"/>
      <c r="AH219" s="311"/>
      <c r="AI219" s="306"/>
      <c r="AJ219" s="310"/>
      <c r="AK219" s="311"/>
      <c r="AL219" s="306"/>
      <c r="AM219" s="310"/>
      <c r="AN219" s="311"/>
      <c r="AO219" s="306"/>
      <c r="AP219" s="310"/>
      <c r="AQ219" s="311"/>
      <c r="AR219" s="306"/>
      <c r="AS219" s="310"/>
      <c r="AT219" s="311"/>
      <c r="AU219" s="306"/>
      <c r="AV219" s="310"/>
      <c r="AW219" s="311"/>
      <c r="AX219" s="306"/>
      <c r="AY219" s="310"/>
      <c r="AZ219" s="311"/>
      <c r="BA219" s="306"/>
      <c r="BB219" s="310"/>
      <c r="BC219" s="311"/>
      <c r="BD219" s="306"/>
      <c r="BE219" s="312"/>
      <c r="BF219" s="312"/>
      <c r="BG219" s="312"/>
      <c r="BH219" s="312"/>
      <c r="BI219" s="312"/>
      <c r="BJ219" s="312"/>
      <c r="BK219" s="312"/>
      <c r="BL219" s="312"/>
      <c r="BM219" s="312"/>
      <c r="BN219" s="312"/>
      <c r="BO219" s="312"/>
      <c r="BP219" s="312"/>
      <c r="BQ219" s="312"/>
      <c r="BR219" s="312"/>
      <c r="BS219" s="312"/>
      <c r="BT219" s="312"/>
      <c r="BU219" s="312"/>
      <c r="BV219" s="312"/>
      <c r="BW219" s="312"/>
      <c r="BX219" s="312"/>
      <c r="BY219" s="312"/>
      <c r="BZ219" s="312"/>
      <c r="CA219" s="312"/>
      <c r="CB219" s="312"/>
      <c r="CC219" s="312"/>
      <c r="CD219" s="312"/>
      <c r="CE219" s="312"/>
      <c r="CF219" s="312"/>
      <c r="CG219" s="312"/>
      <c r="CH219" s="312"/>
      <c r="CI219" s="312"/>
      <c r="CJ219" s="312"/>
      <c r="CK219" s="312"/>
      <c r="CL219" s="312"/>
      <c r="CM219" s="312"/>
      <c r="CN219" s="312"/>
      <c r="CO219" s="312"/>
      <c r="CP219" s="312"/>
      <c r="CQ219" s="312"/>
      <c r="CR219" s="312"/>
    </row>
    <row r="220" spans="1:96" s="300" customFormat="1" ht="15.75" customHeight="1" thickBot="1">
      <c r="A220" s="313"/>
      <c r="B220" s="305" t="s">
        <v>63</v>
      </c>
      <c r="C220" s="308">
        <v>1548</v>
      </c>
      <c r="D220" s="308">
        <v>1752</v>
      </c>
      <c r="E220" s="309">
        <f>IF(C220&gt;0,(((D220-C220)/C220)*100),0)</f>
        <v>13.178294573643413</v>
      </c>
      <c r="F220" s="310"/>
      <c r="G220" s="311"/>
      <c r="H220" s="306"/>
      <c r="I220" s="310"/>
      <c r="J220" s="311"/>
      <c r="K220" s="306"/>
      <c r="L220" s="310"/>
      <c r="M220" s="311"/>
      <c r="N220" s="306"/>
      <c r="O220" s="310"/>
      <c r="P220" s="311"/>
      <c r="Q220" s="306"/>
      <c r="R220" s="310"/>
      <c r="S220" s="311"/>
      <c r="T220" s="306"/>
      <c r="U220" s="310"/>
      <c r="V220" s="311"/>
      <c r="W220" s="306"/>
      <c r="X220" s="310"/>
      <c r="Y220" s="311"/>
      <c r="Z220" s="306"/>
      <c r="AA220" s="310"/>
      <c r="AB220" s="311"/>
      <c r="AC220" s="306"/>
      <c r="AD220" s="310"/>
      <c r="AE220" s="311"/>
      <c r="AF220" s="306"/>
      <c r="AG220" s="310"/>
      <c r="AH220" s="311"/>
      <c r="AI220" s="306"/>
      <c r="AJ220" s="310"/>
      <c r="AK220" s="311"/>
      <c r="AL220" s="306"/>
      <c r="AM220" s="310"/>
      <c r="AN220" s="311"/>
      <c r="AO220" s="306"/>
      <c r="AP220" s="310"/>
      <c r="AQ220" s="311"/>
      <c r="AR220" s="306"/>
      <c r="AS220" s="310"/>
      <c r="AT220" s="311"/>
      <c r="AU220" s="306"/>
      <c r="AV220" s="310"/>
      <c r="AW220" s="311"/>
      <c r="AX220" s="306"/>
      <c r="AY220" s="310"/>
      <c r="AZ220" s="311"/>
      <c r="BA220" s="306"/>
      <c r="BB220" s="310"/>
      <c r="BC220" s="311"/>
      <c r="BD220" s="306"/>
      <c r="BE220" s="312"/>
      <c r="BF220" s="312"/>
      <c r="BG220" s="312"/>
      <c r="BH220" s="312"/>
      <c r="BI220" s="312"/>
      <c r="BJ220" s="312"/>
      <c r="BK220" s="312"/>
      <c r="BL220" s="312"/>
      <c r="BM220" s="312"/>
      <c r="BN220" s="312"/>
      <c r="BO220" s="312"/>
      <c r="BP220" s="312"/>
      <c r="BQ220" s="312"/>
      <c r="BR220" s="312"/>
      <c r="BS220" s="312"/>
      <c r="BT220" s="312"/>
      <c r="BU220" s="312"/>
      <c r="BV220" s="312"/>
      <c r="BW220" s="312"/>
      <c r="BX220" s="312"/>
      <c r="BY220" s="312"/>
      <c r="BZ220" s="312"/>
      <c r="CA220" s="312"/>
      <c r="CB220" s="312"/>
      <c r="CC220" s="312"/>
      <c r="CD220" s="312"/>
      <c r="CE220" s="312"/>
      <c r="CF220" s="312"/>
      <c r="CG220" s="312"/>
      <c r="CH220" s="312"/>
      <c r="CI220" s="312"/>
      <c r="CJ220" s="312"/>
      <c r="CK220" s="312"/>
      <c r="CL220" s="312"/>
      <c r="CM220" s="312"/>
      <c r="CN220" s="312"/>
      <c r="CO220" s="312"/>
      <c r="CP220" s="312"/>
      <c r="CQ220" s="312"/>
      <c r="CR220" s="312"/>
    </row>
    <row r="221" spans="1:96" s="300" customFormat="1" ht="15.75" customHeight="1">
      <c r="A221" s="313"/>
      <c r="B221" s="305" t="s">
        <v>64</v>
      </c>
      <c r="C221" s="311"/>
      <c r="D221" s="311"/>
      <c r="E221" s="306">
        <f>IF(C221&gt;0,(((D221-C221)/C221)*100),0)</f>
        <v>0</v>
      </c>
      <c r="F221" s="310"/>
      <c r="G221" s="311"/>
      <c r="H221" s="306"/>
      <c r="I221" s="310"/>
      <c r="J221" s="311"/>
      <c r="K221" s="306"/>
      <c r="L221" s="310"/>
      <c r="M221" s="311"/>
      <c r="N221" s="306"/>
      <c r="O221" s="310"/>
      <c r="P221" s="311"/>
      <c r="Q221" s="306"/>
      <c r="R221" s="310"/>
      <c r="S221" s="311"/>
      <c r="T221" s="306"/>
      <c r="U221" s="310"/>
      <c r="V221" s="311"/>
      <c r="W221" s="306"/>
      <c r="X221" s="310"/>
      <c r="Y221" s="311"/>
      <c r="Z221" s="306"/>
      <c r="AA221" s="310"/>
      <c r="AB221" s="311"/>
      <c r="AC221" s="306"/>
      <c r="AD221" s="310"/>
      <c r="AE221" s="311"/>
      <c r="AF221" s="306"/>
      <c r="AG221" s="310"/>
      <c r="AH221" s="311"/>
      <c r="AI221" s="306"/>
      <c r="AJ221" s="310"/>
      <c r="AK221" s="311"/>
      <c r="AL221" s="306"/>
      <c r="AM221" s="310"/>
      <c r="AN221" s="311"/>
      <c r="AO221" s="306"/>
      <c r="AP221" s="310"/>
      <c r="AQ221" s="311"/>
      <c r="AR221" s="306"/>
      <c r="AS221" s="310"/>
      <c r="AT221" s="311"/>
      <c r="AU221" s="306"/>
      <c r="AV221" s="310"/>
      <c r="AW221" s="311"/>
      <c r="AX221" s="306"/>
      <c r="AY221" s="310"/>
      <c r="AZ221" s="311"/>
      <c r="BA221" s="306"/>
      <c r="BB221" s="310"/>
      <c r="BC221" s="311"/>
      <c r="BD221" s="306"/>
      <c r="BE221" s="312"/>
      <c r="BF221" s="312"/>
      <c r="BG221" s="312"/>
      <c r="BH221" s="312"/>
      <c r="BI221" s="312"/>
      <c r="BJ221" s="312"/>
      <c r="BK221" s="312"/>
      <c r="BL221" s="312"/>
      <c r="BM221" s="312"/>
      <c r="BN221" s="312"/>
      <c r="BO221" s="312"/>
      <c r="BP221" s="312"/>
      <c r="BQ221" s="312"/>
      <c r="BR221" s="312"/>
      <c r="BS221" s="312"/>
      <c r="BT221" s="312"/>
      <c r="BU221" s="312"/>
      <c r="BV221" s="312"/>
      <c r="BW221" s="312"/>
      <c r="BX221" s="312"/>
      <c r="BY221" s="312"/>
      <c r="BZ221" s="312"/>
      <c r="CA221" s="312"/>
      <c r="CB221" s="312"/>
      <c r="CC221" s="312"/>
      <c r="CD221" s="312"/>
      <c r="CE221" s="312"/>
      <c r="CF221" s="312"/>
      <c r="CG221" s="312"/>
      <c r="CH221" s="312"/>
      <c r="CI221" s="312"/>
      <c r="CJ221" s="312"/>
      <c r="CK221" s="312"/>
      <c r="CL221" s="312"/>
      <c r="CM221" s="312"/>
      <c r="CN221" s="312"/>
      <c r="CO221" s="312"/>
      <c r="CP221" s="312"/>
      <c r="CQ221" s="312"/>
      <c r="CR221" s="312"/>
    </row>
    <row r="222" spans="1:96" s="300" customFormat="1" ht="15.75" customHeight="1" thickBot="1">
      <c r="A222" s="313"/>
      <c r="B222" s="305" t="s">
        <v>970</v>
      </c>
      <c r="C222" s="311">
        <v>1548</v>
      </c>
      <c r="D222" s="311">
        <v>1752</v>
      </c>
      <c r="E222" s="306">
        <f>IF(C222&gt;0,(((D222-C222)/C222)*100),0)</f>
        <v>13.178294573643413</v>
      </c>
      <c r="F222" s="310"/>
      <c r="G222" s="311"/>
      <c r="H222" s="306"/>
      <c r="I222" s="310"/>
      <c r="J222" s="311"/>
      <c r="K222" s="306"/>
      <c r="L222" s="310"/>
      <c r="M222" s="311"/>
      <c r="N222" s="306"/>
      <c r="O222" s="310"/>
      <c r="P222" s="311"/>
      <c r="Q222" s="306"/>
      <c r="R222" s="310"/>
      <c r="S222" s="311"/>
      <c r="T222" s="306"/>
      <c r="U222" s="310"/>
      <c r="V222" s="311"/>
      <c r="W222" s="306"/>
      <c r="X222" s="310"/>
      <c r="Y222" s="311"/>
      <c r="Z222" s="306"/>
      <c r="AA222" s="310"/>
      <c r="AB222" s="311"/>
      <c r="AC222" s="306"/>
      <c r="AD222" s="310"/>
      <c r="AE222" s="311"/>
      <c r="AF222" s="306"/>
      <c r="AG222" s="310"/>
      <c r="AH222" s="311"/>
      <c r="AI222" s="306"/>
      <c r="AJ222" s="310"/>
      <c r="AK222" s="311"/>
      <c r="AL222" s="306"/>
      <c r="AM222" s="310"/>
      <c r="AN222" s="311"/>
      <c r="AO222" s="306"/>
      <c r="AP222" s="310"/>
      <c r="AQ222" s="311"/>
      <c r="AR222" s="306"/>
      <c r="AS222" s="310"/>
      <c r="AT222" s="311"/>
      <c r="AU222" s="306"/>
      <c r="AV222" s="310"/>
      <c r="AW222" s="311"/>
      <c r="AX222" s="306"/>
      <c r="AY222" s="310"/>
      <c r="AZ222" s="311"/>
      <c r="BA222" s="306"/>
      <c r="BB222" s="310"/>
      <c r="BC222" s="311"/>
      <c r="BD222" s="306"/>
      <c r="BE222" s="312"/>
      <c r="BF222" s="312"/>
      <c r="BG222" s="312"/>
      <c r="BH222" s="312"/>
      <c r="BI222" s="312"/>
      <c r="BJ222" s="312"/>
      <c r="BK222" s="312"/>
      <c r="BL222" s="312"/>
      <c r="BM222" s="312"/>
      <c r="BN222" s="312"/>
      <c r="BO222" s="312"/>
      <c r="BP222" s="312"/>
      <c r="BQ222" s="312"/>
      <c r="BR222" s="312"/>
      <c r="BS222" s="312"/>
      <c r="BT222" s="312"/>
      <c r="BU222" s="312"/>
      <c r="BV222" s="312"/>
      <c r="BW222" s="312"/>
      <c r="BX222" s="312"/>
      <c r="BY222" s="312"/>
      <c r="BZ222" s="312"/>
      <c r="CA222" s="312"/>
      <c r="CB222" s="312"/>
      <c r="CC222" s="312"/>
      <c r="CD222" s="312"/>
      <c r="CE222" s="312"/>
      <c r="CF222" s="312"/>
      <c r="CG222" s="312"/>
      <c r="CH222" s="312"/>
      <c r="CI222" s="312"/>
      <c r="CJ222" s="312"/>
      <c r="CK222" s="312"/>
      <c r="CL222" s="312"/>
      <c r="CM222" s="312"/>
      <c r="CN222" s="312"/>
      <c r="CO222" s="312"/>
      <c r="CP222" s="312"/>
      <c r="CQ222" s="312"/>
      <c r="CR222" s="312"/>
    </row>
    <row r="223" spans="1:96" s="321" customFormat="1" ht="15.75" customHeight="1">
      <c r="A223" s="314"/>
      <c r="B223" s="315"/>
      <c r="C223" s="317"/>
      <c r="D223" s="317"/>
      <c r="E223" s="306">
        <f aca="true" t="shared" si="39" ref="E223:E235">IF(C223&gt;0,(((D223-C223)/C223)*100),0)</f>
        <v>0</v>
      </c>
      <c r="F223" s="316"/>
      <c r="G223" s="317"/>
      <c r="H223" s="318"/>
      <c r="I223" s="316"/>
      <c r="J223" s="317"/>
      <c r="K223" s="318"/>
      <c r="L223" s="316"/>
      <c r="M223" s="317"/>
      <c r="N223" s="319"/>
      <c r="O223" s="316">
        <v>7936</v>
      </c>
      <c r="P223" s="317">
        <v>8341</v>
      </c>
      <c r="Q223" s="318">
        <f>IF(O223&gt;0,(((P223-O223)/O223)*100),0)</f>
        <v>5.103326612903226</v>
      </c>
      <c r="R223" s="316">
        <v>20736</v>
      </c>
      <c r="S223" s="317">
        <v>22215.5</v>
      </c>
      <c r="T223" s="318">
        <f>IF(R223&gt;0,(((S223-R223)/R223)*100),0)</f>
        <v>7.134934413580248</v>
      </c>
      <c r="U223" s="316">
        <v>15932.5</v>
      </c>
      <c r="V223" s="317">
        <v>16702</v>
      </c>
      <c r="W223" s="318">
        <f>IF(U223&gt;0,(((V223-U223)/U223)*100),0)</f>
        <v>4.82975050996391</v>
      </c>
      <c r="X223" s="316">
        <v>31734.5</v>
      </c>
      <c r="Y223" s="317">
        <v>33292</v>
      </c>
      <c r="Z223" s="318">
        <f>IF(X223&gt;0,(((Y223-X223)/X223)*100),0)</f>
        <v>4.907907797507445</v>
      </c>
      <c r="AA223" s="316">
        <v>12126</v>
      </c>
      <c r="AB223" s="317">
        <v>12975</v>
      </c>
      <c r="AC223" s="318">
        <f>IF(AA223&gt;0,(((AB223-AA223)/AA223)*100),0)</f>
        <v>7.0014844136566055</v>
      </c>
      <c r="AD223" s="316">
        <v>29756</v>
      </c>
      <c r="AE223" s="317">
        <v>31134</v>
      </c>
      <c r="AF223" s="318">
        <f>IF(AD223&gt;0,(((AE223-AD223)/AD223)*100),0)</f>
        <v>4.630998790159968</v>
      </c>
      <c r="AG223" s="316">
        <v>9567</v>
      </c>
      <c r="AH223" s="317">
        <v>10237</v>
      </c>
      <c r="AI223" s="318">
        <f>IF(AG223&gt;0,(((AH223-AG223)/AG223)*100),0)</f>
        <v>7.003240305215846</v>
      </c>
      <c r="AJ223" s="316">
        <v>21350</v>
      </c>
      <c r="AK223" s="317">
        <v>22373</v>
      </c>
      <c r="AL223" s="318">
        <f>IF(AJ223&gt;0,(((AK223-AJ223)/AJ223)*100),0)</f>
        <v>4.791569086651054</v>
      </c>
      <c r="AM223" s="316"/>
      <c r="AN223" s="317"/>
      <c r="AO223" s="318"/>
      <c r="AP223" s="316"/>
      <c r="AQ223" s="317"/>
      <c r="AR223" s="318">
        <f>IF(AP223&gt;0,(((AQ223-AP223)/AP223)*100),0)</f>
        <v>0</v>
      </c>
      <c r="AS223" s="316"/>
      <c r="AT223" s="317"/>
      <c r="AU223" s="318"/>
      <c r="AV223" s="316"/>
      <c r="AW223" s="317"/>
      <c r="AX223" s="318"/>
      <c r="AY223" s="336">
        <v>8902</v>
      </c>
      <c r="AZ223" s="337">
        <v>10175</v>
      </c>
      <c r="BA223" s="338">
        <f>IF(AY223&gt;0,(((AZ223-AY223)/AY223)*100),0)</f>
        <v>14.300157268029656</v>
      </c>
      <c r="BB223" s="336">
        <v>24778</v>
      </c>
      <c r="BC223" s="337">
        <v>28395</v>
      </c>
      <c r="BD223" s="338">
        <f>IF(BB223&gt;0,(((BC223-BB223)/BB223)*100),0)</f>
        <v>14.597626927112762</v>
      </c>
      <c r="BE223" s="320"/>
      <c r="BF223" s="320"/>
      <c r="BG223" s="320"/>
      <c r="BH223" s="320"/>
      <c r="BI223" s="320"/>
      <c r="BJ223" s="320"/>
      <c r="BK223" s="320"/>
      <c r="BL223" s="320"/>
      <c r="BM223" s="320"/>
      <c r="BN223" s="320"/>
      <c r="BO223" s="320"/>
      <c r="BP223" s="320"/>
      <c r="BQ223" s="320"/>
      <c r="BR223" s="320"/>
      <c r="BS223" s="320"/>
      <c r="BT223" s="320"/>
      <c r="BU223" s="320"/>
      <c r="BV223" s="320"/>
      <c r="BW223" s="320"/>
      <c r="BX223" s="320"/>
      <c r="BY223" s="320"/>
      <c r="BZ223" s="320"/>
      <c r="CA223" s="320"/>
      <c r="CB223" s="320"/>
      <c r="CC223" s="320"/>
      <c r="CD223" s="320"/>
      <c r="CE223" s="320"/>
      <c r="CF223" s="320"/>
      <c r="CG223" s="320"/>
      <c r="CH223" s="320"/>
      <c r="CI223" s="320"/>
      <c r="CJ223" s="320"/>
      <c r="CK223" s="320"/>
      <c r="CL223" s="320"/>
      <c r="CM223" s="320"/>
      <c r="CN223" s="320"/>
      <c r="CO223" s="320"/>
      <c r="CP223" s="320"/>
      <c r="CQ223" s="320"/>
      <c r="CR223" s="320"/>
    </row>
    <row r="224" spans="1:96" s="300" customFormat="1" ht="15.75" customHeight="1">
      <c r="A224" s="304" t="s">
        <v>1036</v>
      </c>
      <c r="B224" s="305" t="s">
        <v>665</v>
      </c>
      <c r="C224" s="311">
        <v>4911.6</v>
      </c>
      <c r="D224" s="311">
        <v>5848</v>
      </c>
      <c r="E224" s="306">
        <f t="shared" si="39"/>
        <v>19.065070445476007</v>
      </c>
      <c r="F224" s="311">
        <v>10532</v>
      </c>
      <c r="G224" s="311">
        <v>13634</v>
      </c>
      <c r="H224" s="306">
        <f aca="true" t="shared" si="40" ref="H224:H235">IF(F224&gt;0,(((G224-F224)/F224)*100),0)</f>
        <v>29.4530953285226</v>
      </c>
      <c r="I224" s="311">
        <v>3927</v>
      </c>
      <c r="J224" s="311">
        <v>6205.2</v>
      </c>
      <c r="K224" s="306">
        <f aca="true" t="shared" si="41" ref="K224:K230">IF(I224&gt;0,(((J224-I224)/I224)*100),0)</f>
        <v>58.013750954927424</v>
      </c>
      <c r="L224" s="311">
        <v>9675</v>
      </c>
      <c r="M224" s="311">
        <v>12820.8</v>
      </c>
      <c r="N224" s="306">
        <f aca="true" t="shared" si="42" ref="N224:N230">IF(L224&gt;0,(((M224-L224)/L224)*100),0)</f>
        <v>32.514728682170535</v>
      </c>
      <c r="O224" s="310"/>
      <c r="P224" s="311"/>
      <c r="Q224" s="306"/>
      <c r="R224" s="310"/>
      <c r="S224" s="311"/>
      <c r="T224" s="306"/>
      <c r="U224" s="310"/>
      <c r="V224" s="311"/>
      <c r="W224" s="306"/>
      <c r="X224" s="310"/>
      <c r="Y224" s="311"/>
      <c r="Z224" s="306"/>
      <c r="AA224" s="310"/>
      <c r="AB224" s="311"/>
      <c r="AC224" s="306"/>
      <c r="AD224" s="310"/>
      <c r="AE224" s="311"/>
      <c r="AF224" s="306"/>
      <c r="AG224" s="310"/>
      <c r="AH224" s="311"/>
      <c r="AI224" s="306"/>
      <c r="AJ224" s="310"/>
      <c r="AK224" s="311"/>
      <c r="AL224" s="306"/>
      <c r="AM224" s="310"/>
      <c r="AN224" s="311"/>
      <c r="AO224" s="306"/>
      <c r="AP224" s="310"/>
      <c r="AQ224" s="311"/>
      <c r="AR224" s="306"/>
      <c r="AS224" s="310"/>
      <c r="AT224" s="311"/>
      <c r="AU224" s="306"/>
      <c r="AV224" s="310"/>
      <c r="AW224" s="311"/>
      <c r="AX224" s="306"/>
      <c r="AY224" s="310"/>
      <c r="AZ224" s="311"/>
      <c r="BA224" s="306"/>
      <c r="BB224" s="310"/>
      <c r="BC224" s="311"/>
      <c r="BD224" s="306"/>
      <c r="BE224" s="312"/>
      <c r="BF224" s="312"/>
      <c r="BG224" s="312"/>
      <c r="BH224" s="312"/>
      <c r="BI224" s="312"/>
      <c r="BJ224" s="312"/>
      <c r="BK224" s="312"/>
      <c r="BL224" s="312"/>
      <c r="BM224" s="312"/>
      <c r="BN224" s="312"/>
      <c r="BO224" s="312"/>
      <c r="BP224" s="312"/>
      <c r="BQ224" s="312"/>
      <c r="BR224" s="312"/>
      <c r="BS224" s="312"/>
      <c r="BT224" s="312"/>
      <c r="BU224" s="312"/>
      <c r="BV224" s="312"/>
      <c r="BW224" s="312"/>
      <c r="BX224" s="312"/>
      <c r="BY224" s="312"/>
      <c r="BZ224" s="312"/>
      <c r="CA224" s="312"/>
      <c r="CB224" s="312"/>
      <c r="CC224" s="312"/>
      <c r="CD224" s="312"/>
      <c r="CE224" s="312"/>
      <c r="CF224" s="312"/>
      <c r="CG224" s="312"/>
      <c r="CH224" s="312"/>
      <c r="CI224" s="312"/>
      <c r="CJ224" s="312"/>
      <c r="CK224" s="312"/>
      <c r="CL224" s="312"/>
      <c r="CM224" s="312"/>
      <c r="CN224" s="312"/>
      <c r="CO224" s="312"/>
      <c r="CP224" s="312"/>
      <c r="CQ224" s="312"/>
      <c r="CR224" s="312"/>
    </row>
    <row r="225" spans="1:96" s="300" customFormat="1" ht="15.75" customHeight="1">
      <c r="A225" s="313"/>
      <c r="B225" s="305" t="s">
        <v>666</v>
      </c>
      <c r="C225" s="311">
        <v>4723.4</v>
      </c>
      <c r="D225" s="311">
        <v>5300</v>
      </c>
      <c r="E225" s="306">
        <f t="shared" si="39"/>
        <v>12.207308294872346</v>
      </c>
      <c r="F225" s="311">
        <v>10948</v>
      </c>
      <c r="G225" s="311">
        <v>14070</v>
      </c>
      <c r="H225" s="306">
        <f t="shared" si="40"/>
        <v>28.516624040920718</v>
      </c>
      <c r="I225" s="311">
        <v>4390</v>
      </c>
      <c r="J225" s="311">
        <v>5104.8</v>
      </c>
      <c r="K225" s="306">
        <f t="shared" si="41"/>
        <v>16.282460136674263</v>
      </c>
      <c r="L225" s="311">
        <v>10018</v>
      </c>
      <c r="M225" s="311">
        <v>12783.6</v>
      </c>
      <c r="N225" s="306">
        <f t="shared" si="42"/>
        <v>27.606308644440013</v>
      </c>
      <c r="O225" s="310"/>
      <c r="P225" s="311"/>
      <c r="Q225" s="306"/>
      <c r="R225" s="310"/>
      <c r="S225" s="311"/>
      <c r="T225" s="306"/>
      <c r="U225" s="310"/>
      <c r="V225" s="311"/>
      <c r="W225" s="306"/>
      <c r="X225" s="310"/>
      <c r="Y225" s="311"/>
      <c r="Z225" s="306"/>
      <c r="AA225" s="310"/>
      <c r="AB225" s="311"/>
      <c r="AC225" s="306"/>
      <c r="AD225" s="310"/>
      <c r="AE225" s="311"/>
      <c r="AF225" s="306"/>
      <c r="AG225" s="310"/>
      <c r="AH225" s="311"/>
      <c r="AI225" s="306"/>
      <c r="AJ225" s="310"/>
      <c r="AK225" s="311"/>
      <c r="AL225" s="306"/>
      <c r="AM225" s="310"/>
      <c r="AN225" s="311"/>
      <c r="AO225" s="306"/>
      <c r="AP225" s="310"/>
      <c r="AQ225" s="311"/>
      <c r="AR225" s="306"/>
      <c r="AS225" s="310"/>
      <c r="AT225" s="311"/>
      <c r="AU225" s="306"/>
      <c r="AV225" s="310"/>
      <c r="AW225" s="311"/>
      <c r="AX225" s="306"/>
      <c r="AY225" s="310"/>
      <c r="AZ225" s="311"/>
      <c r="BA225" s="306"/>
      <c r="BB225" s="310"/>
      <c r="BC225" s="311"/>
      <c r="BD225" s="306"/>
      <c r="BE225" s="312"/>
      <c r="BF225" s="312"/>
      <c r="BG225" s="312"/>
      <c r="BH225" s="312"/>
      <c r="BI225" s="312"/>
      <c r="BJ225" s="312"/>
      <c r="BK225" s="312"/>
      <c r="BL225" s="312"/>
      <c r="BM225" s="312"/>
      <c r="BN225" s="312"/>
      <c r="BO225" s="312"/>
      <c r="BP225" s="312"/>
      <c r="BQ225" s="312"/>
      <c r="BR225" s="312"/>
      <c r="BS225" s="312"/>
      <c r="BT225" s="312"/>
      <c r="BU225" s="312"/>
      <c r="BV225" s="312"/>
      <c r="BW225" s="312"/>
      <c r="BX225" s="312"/>
      <c r="BY225" s="312"/>
      <c r="BZ225" s="312"/>
      <c r="CA225" s="312"/>
      <c r="CB225" s="312"/>
      <c r="CC225" s="312"/>
      <c r="CD225" s="312"/>
      <c r="CE225" s="312"/>
      <c r="CF225" s="312"/>
      <c r="CG225" s="312"/>
      <c r="CH225" s="312"/>
      <c r="CI225" s="312"/>
      <c r="CJ225" s="312"/>
      <c r="CK225" s="312"/>
      <c r="CL225" s="312"/>
      <c r="CM225" s="312"/>
      <c r="CN225" s="312"/>
      <c r="CO225" s="312"/>
      <c r="CP225" s="312"/>
      <c r="CQ225" s="312"/>
      <c r="CR225" s="312"/>
    </row>
    <row r="226" spans="1:96" s="300" customFormat="1" ht="15.75" customHeight="1">
      <c r="A226" s="313"/>
      <c r="B226" s="305" t="s">
        <v>667</v>
      </c>
      <c r="C226" s="311">
        <v>3702</v>
      </c>
      <c r="D226" s="311">
        <v>4182</v>
      </c>
      <c r="E226" s="306">
        <f t="shared" si="39"/>
        <v>12.965964343598054</v>
      </c>
      <c r="F226" s="311">
        <v>10086</v>
      </c>
      <c r="G226" s="311">
        <v>12019</v>
      </c>
      <c r="H226" s="306">
        <f t="shared" si="40"/>
        <v>19.165179456672615</v>
      </c>
      <c r="I226" s="311">
        <v>2798</v>
      </c>
      <c r="J226" s="311">
        <v>3993.6</v>
      </c>
      <c r="K226" s="306">
        <f t="shared" si="41"/>
        <v>42.73052180128663</v>
      </c>
      <c r="L226" s="311">
        <v>8485</v>
      </c>
      <c r="M226" s="311">
        <v>10185.6</v>
      </c>
      <c r="N226" s="306">
        <f t="shared" si="42"/>
        <v>20.042427813789043</v>
      </c>
      <c r="O226" s="310"/>
      <c r="P226" s="311"/>
      <c r="Q226" s="306"/>
      <c r="R226" s="310"/>
      <c r="S226" s="311"/>
      <c r="T226" s="306"/>
      <c r="U226" s="310"/>
      <c r="V226" s="311"/>
      <c r="W226" s="306"/>
      <c r="X226" s="310"/>
      <c r="Y226" s="311"/>
      <c r="Z226" s="306"/>
      <c r="AA226" s="310"/>
      <c r="AB226" s="311"/>
      <c r="AC226" s="306"/>
      <c r="AD226" s="310"/>
      <c r="AE226" s="311"/>
      <c r="AF226" s="306"/>
      <c r="AG226" s="310"/>
      <c r="AH226" s="311"/>
      <c r="AI226" s="306"/>
      <c r="AJ226" s="310"/>
      <c r="AK226" s="311"/>
      <c r="AL226" s="306"/>
      <c r="AM226" s="310"/>
      <c r="AN226" s="311"/>
      <c r="AO226" s="306"/>
      <c r="AP226" s="310"/>
      <c r="AQ226" s="311"/>
      <c r="AR226" s="306"/>
      <c r="AS226" s="310"/>
      <c r="AT226" s="311"/>
      <c r="AU226" s="306"/>
      <c r="AV226" s="310"/>
      <c r="AW226" s="311"/>
      <c r="AX226" s="306"/>
      <c r="AY226" s="310"/>
      <c r="AZ226" s="311"/>
      <c r="BA226" s="306"/>
      <c r="BB226" s="310"/>
      <c r="BC226" s="311"/>
      <c r="BD226" s="306"/>
      <c r="BE226" s="312"/>
      <c r="BF226" s="312"/>
      <c r="BG226" s="312"/>
      <c r="BH226" s="312"/>
      <c r="BI226" s="312"/>
      <c r="BJ226" s="312"/>
      <c r="BK226" s="312"/>
      <c r="BL226" s="312"/>
      <c r="BM226" s="312"/>
      <c r="BN226" s="312"/>
      <c r="BO226" s="312"/>
      <c r="BP226" s="312"/>
      <c r="BQ226" s="312"/>
      <c r="BR226" s="312"/>
      <c r="BS226" s="312"/>
      <c r="BT226" s="312"/>
      <c r="BU226" s="312"/>
      <c r="BV226" s="312"/>
      <c r="BW226" s="312"/>
      <c r="BX226" s="312"/>
      <c r="BY226" s="312"/>
      <c r="BZ226" s="312"/>
      <c r="CA226" s="312"/>
      <c r="CB226" s="312"/>
      <c r="CC226" s="312"/>
      <c r="CD226" s="312"/>
      <c r="CE226" s="312"/>
      <c r="CF226" s="312"/>
      <c r="CG226" s="312"/>
      <c r="CH226" s="312"/>
      <c r="CI226" s="312"/>
      <c r="CJ226" s="312"/>
      <c r="CK226" s="312"/>
      <c r="CL226" s="312"/>
      <c r="CM226" s="312"/>
      <c r="CN226" s="312"/>
      <c r="CO226" s="312"/>
      <c r="CP226" s="312"/>
      <c r="CQ226" s="312"/>
      <c r="CR226" s="312"/>
    </row>
    <row r="227" spans="1:96" s="300" customFormat="1" ht="15.75" customHeight="1">
      <c r="A227" s="313"/>
      <c r="B227" s="305" t="s">
        <v>668</v>
      </c>
      <c r="C227" s="311">
        <v>3182.06</v>
      </c>
      <c r="D227" s="311">
        <v>3633</v>
      </c>
      <c r="E227" s="306">
        <f t="shared" si="39"/>
        <v>14.171322979453564</v>
      </c>
      <c r="F227" s="311">
        <v>9611.5</v>
      </c>
      <c r="G227" s="311">
        <v>11383</v>
      </c>
      <c r="H227" s="306">
        <f t="shared" si="40"/>
        <v>18.431046142641627</v>
      </c>
      <c r="I227" s="311">
        <v>2370.5</v>
      </c>
      <c r="J227" s="311">
        <v>3058.2</v>
      </c>
      <c r="K227" s="306">
        <f t="shared" si="41"/>
        <v>29.010757224214295</v>
      </c>
      <c r="L227" s="311">
        <v>8282.5</v>
      </c>
      <c r="M227" s="311">
        <v>9195</v>
      </c>
      <c r="N227" s="306">
        <f t="shared" si="42"/>
        <v>11.017204950196197</v>
      </c>
      <c r="O227" s="310"/>
      <c r="P227" s="311"/>
      <c r="Q227" s="306"/>
      <c r="R227" s="310"/>
      <c r="S227" s="311"/>
      <c r="T227" s="306"/>
      <c r="U227" s="310"/>
      <c r="V227" s="311"/>
      <c r="W227" s="306"/>
      <c r="X227" s="310"/>
      <c r="Y227" s="311"/>
      <c r="Z227" s="306"/>
      <c r="AA227" s="310"/>
      <c r="AB227" s="311"/>
      <c r="AC227" s="306"/>
      <c r="AD227" s="310"/>
      <c r="AE227" s="311"/>
      <c r="AF227" s="306"/>
      <c r="AG227" s="310"/>
      <c r="AH227" s="311"/>
      <c r="AI227" s="306"/>
      <c r="AJ227" s="310"/>
      <c r="AK227" s="311"/>
      <c r="AL227" s="306"/>
      <c r="AM227" s="310"/>
      <c r="AN227" s="311"/>
      <c r="AO227" s="306"/>
      <c r="AP227" s="310"/>
      <c r="AQ227" s="311"/>
      <c r="AR227" s="306"/>
      <c r="AS227" s="310"/>
      <c r="AT227" s="311"/>
      <c r="AU227" s="306"/>
      <c r="AV227" s="310"/>
      <c r="AW227" s="311"/>
      <c r="AX227" s="306"/>
      <c r="AY227" s="310"/>
      <c r="AZ227" s="311"/>
      <c r="BA227" s="306"/>
      <c r="BB227" s="310"/>
      <c r="BC227" s="311"/>
      <c r="BD227" s="306"/>
      <c r="BE227" s="312"/>
      <c r="BF227" s="312"/>
      <c r="BG227" s="312"/>
      <c r="BH227" s="312"/>
      <c r="BI227" s="312"/>
      <c r="BJ227" s="312"/>
      <c r="BK227" s="312"/>
      <c r="BL227" s="312"/>
      <c r="BM227" s="312"/>
      <c r="BN227" s="312"/>
      <c r="BO227" s="312"/>
      <c r="BP227" s="312"/>
      <c r="BQ227" s="312"/>
      <c r="BR227" s="312"/>
      <c r="BS227" s="312"/>
      <c r="BT227" s="312"/>
      <c r="BU227" s="312"/>
      <c r="BV227" s="312"/>
      <c r="BW227" s="312"/>
      <c r="BX227" s="312"/>
      <c r="BY227" s="312"/>
      <c r="BZ227" s="312"/>
      <c r="CA227" s="312"/>
      <c r="CB227" s="312"/>
      <c r="CC227" s="312"/>
      <c r="CD227" s="312"/>
      <c r="CE227" s="312"/>
      <c r="CF227" s="312"/>
      <c r="CG227" s="312"/>
      <c r="CH227" s="312"/>
      <c r="CI227" s="312"/>
      <c r="CJ227" s="312"/>
      <c r="CK227" s="312"/>
      <c r="CL227" s="312"/>
      <c r="CM227" s="312"/>
      <c r="CN227" s="312"/>
      <c r="CO227" s="312"/>
      <c r="CP227" s="312"/>
      <c r="CQ227" s="312"/>
      <c r="CR227" s="312"/>
    </row>
    <row r="228" spans="1:96" s="300" customFormat="1" ht="15.75" customHeight="1">
      <c r="A228" s="313"/>
      <c r="B228" s="305" t="s">
        <v>669</v>
      </c>
      <c r="C228" s="311">
        <v>3763</v>
      </c>
      <c r="D228" s="311">
        <v>4005</v>
      </c>
      <c r="E228" s="306">
        <f t="shared" si="39"/>
        <v>6.431039064576136</v>
      </c>
      <c r="F228" s="311">
        <v>10058</v>
      </c>
      <c r="G228" s="311">
        <v>13065</v>
      </c>
      <c r="H228" s="306">
        <f t="shared" si="40"/>
        <v>29.896599721614635</v>
      </c>
      <c r="I228" s="311">
        <v>2411</v>
      </c>
      <c r="J228" s="311">
        <v>3962.4</v>
      </c>
      <c r="K228" s="306">
        <f t="shared" si="41"/>
        <v>64.34674408958938</v>
      </c>
      <c r="L228" s="311">
        <v>7523</v>
      </c>
      <c r="M228" s="311">
        <v>10634.4</v>
      </c>
      <c r="N228" s="306">
        <f t="shared" si="42"/>
        <v>41.35850059816562</v>
      </c>
      <c r="O228" s="310"/>
      <c r="P228" s="311"/>
      <c r="Q228" s="306"/>
      <c r="R228" s="310"/>
      <c r="S228" s="311"/>
      <c r="T228" s="306"/>
      <c r="U228" s="310"/>
      <c r="V228" s="311"/>
      <c r="W228" s="306"/>
      <c r="X228" s="310"/>
      <c r="Y228" s="311"/>
      <c r="Z228" s="306"/>
      <c r="AA228" s="310"/>
      <c r="AB228" s="311"/>
      <c r="AC228" s="306"/>
      <c r="AD228" s="310"/>
      <c r="AE228" s="311"/>
      <c r="AF228" s="306"/>
      <c r="AG228" s="310"/>
      <c r="AH228" s="311"/>
      <c r="AI228" s="306"/>
      <c r="AJ228" s="310"/>
      <c r="AK228" s="311"/>
      <c r="AL228" s="306"/>
      <c r="AM228" s="310"/>
      <c r="AN228" s="311"/>
      <c r="AO228" s="306"/>
      <c r="AP228" s="310"/>
      <c r="AQ228" s="311"/>
      <c r="AR228" s="306"/>
      <c r="AS228" s="310"/>
      <c r="AT228" s="311"/>
      <c r="AU228" s="306"/>
      <c r="AV228" s="310"/>
      <c r="AW228" s="311"/>
      <c r="AX228" s="306"/>
      <c r="AY228" s="310"/>
      <c r="AZ228" s="311"/>
      <c r="BA228" s="306"/>
      <c r="BB228" s="310"/>
      <c r="BC228" s="311"/>
      <c r="BD228" s="306"/>
      <c r="BE228" s="312"/>
      <c r="BF228" s="312"/>
      <c r="BG228" s="312"/>
      <c r="BH228" s="312"/>
      <c r="BI228" s="312"/>
      <c r="BJ228" s="312"/>
      <c r="BK228" s="312"/>
      <c r="BL228" s="312"/>
      <c r="BM228" s="312"/>
      <c r="BN228" s="312"/>
      <c r="BO228" s="312"/>
      <c r="BP228" s="312"/>
      <c r="BQ228" s="312"/>
      <c r="BR228" s="312"/>
      <c r="BS228" s="312"/>
      <c r="BT228" s="312"/>
      <c r="BU228" s="312"/>
      <c r="BV228" s="312"/>
      <c r="BW228" s="312"/>
      <c r="BX228" s="312"/>
      <c r="BY228" s="312"/>
      <c r="BZ228" s="312"/>
      <c r="CA228" s="312"/>
      <c r="CB228" s="312"/>
      <c r="CC228" s="312"/>
      <c r="CD228" s="312"/>
      <c r="CE228" s="312"/>
      <c r="CF228" s="312"/>
      <c r="CG228" s="312"/>
      <c r="CH228" s="312"/>
      <c r="CI228" s="312"/>
      <c r="CJ228" s="312"/>
      <c r="CK228" s="312"/>
      <c r="CL228" s="312"/>
      <c r="CM228" s="312"/>
      <c r="CN228" s="312"/>
      <c r="CO228" s="312"/>
      <c r="CP228" s="312"/>
      <c r="CQ228" s="312"/>
      <c r="CR228" s="312"/>
    </row>
    <row r="229" spans="1:96" s="300" customFormat="1" ht="15.75" customHeight="1">
      <c r="A229" s="313"/>
      <c r="B229" s="305" t="s">
        <v>670</v>
      </c>
      <c r="C229" s="311">
        <v>3639.95</v>
      </c>
      <c r="D229" s="311">
        <v>4278.45</v>
      </c>
      <c r="E229" s="306">
        <f t="shared" si="39"/>
        <v>17.541449745188807</v>
      </c>
      <c r="F229" s="311">
        <v>10093.5</v>
      </c>
      <c r="G229" s="311">
        <v>12773.45</v>
      </c>
      <c r="H229" s="306">
        <f t="shared" si="40"/>
        <v>26.55124585129044</v>
      </c>
      <c r="I229" s="311">
        <v>2635.5</v>
      </c>
      <c r="J229" s="311">
        <v>3945.6</v>
      </c>
      <c r="K229" s="306">
        <f t="shared" si="41"/>
        <v>49.70973249857712</v>
      </c>
      <c r="L229" s="311">
        <v>8119.5</v>
      </c>
      <c r="M229" s="311">
        <v>10293.6</v>
      </c>
      <c r="N229" s="306">
        <f t="shared" si="42"/>
        <v>26.776279327544806</v>
      </c>
      <c r="O229" s="310"/>
      <c r="P229" s="311"/>
      <c r="Q229" s="306"/>
      <c r="R229" s="310"/>
      <c r="S229" s="311"/>
      <c r="T229" s="306"/>
      <c r="U229" s="310"/>
      <c r="V229" s="311"/>
      <c r="W229" s="306"/>
      <c r="X229" s="310"/>
      <c r="Y229" s="311"/>
      <c r="Z229" s="306"/>
      <c r="AA229" s="310"/>
      <c r="AB229" s="311"/>
      <c r="AC229" s="306"/>
      <c r="AD229" s="310"/>
      <c r="AE229" s="311"/>
      <c r="AF229" s="306"/>
      <c r="AG229" s="310"/>
      <c r="AH229" s="311"/>
      <c r="AI229" s="306"/>
      <c r="AJ229" s="310"/>
      <c r="AK229" s="311"/>
      <c r="AL229" s="306"/>
      <c r="AM229" s="310"/>
      <c r="AN229" s="311"/>
      <c r="AO229" s="306"/>
      <c r="AP229" s="310"/>
      <c r="AQ229" s="311"/>
      <c r="AR229" s="306"/>
      <c r="AS229" s="310"/>
      <c r="AT229" s="311"/>
      <c r="AU229" s="306"/>
      <c r="AV229" s="310"/>
      <c r="AW229" s="311"/>
      <c r="AX229" s="306"/>
      <c r="AY229" s="310"/>
      <c r="AZ229" s="311"/>
      <c r="BA229" s="306"/>
      <c r="BB229" s="310"/>
      <c r="BC229" s="311"/>
      <c r="BD229" s="306"/>
      <c r="BE229" s="312"/>
      <c r="BF229" s="312"/>
      <c r="BG229" s="312"/>
      <c r="BH229" s="312"/>
      <c r="BI229" s="312"/>
      <c r="BJ229" s="312"/>
      <c r="BK229" s="312"/>
      <c r="BL229" s="312"/>
      <c r="BM229" s="312"/>
      <c r="BN229" s="312"/>
      <c r="BO229" s="312"/>
      <c r="BP229" s="312"/>
      <c r="BQ229" s="312"/>
      <c r="BR229" s="312"/>
      <c r="BS229" s="312"/>
      <c r="BT229" s="312"/>
      <c r="BU229" s="312"/>
      <c r="BV229" s="312"/>
      <c r="BW229" s="312"/>
      <c r="BX229" s="312"/>
      <c r="BY229" s="312"/>
      <c r="BZ229" s="312"/>
      <c r="CA229" s="312"/>
      <c r="CB229" s="312"/>
      <c r="CC229" s="312"/>
      <c r="CD229" s="312"/>
      <c r="CE229" s="312"/>
      <c r="CF229" s="312"/>
      <c r="CG229" s="312"/>
      <c r="CH229" s="312"/>
      <c r="CI229" s="312"/>
      <c r="CJ229" s="312"/>
      <c r="CK229" s="312"/>
      <c r="CL229" s="312"/>
      <c r="CM229" s="312"/>
      <c r="CN229" s="312"/>
      <c r="CO229" s="312"/>
      <c r="CP229" s="312"/>
      <c r="CQ229" s="312"/>
      <c r="CR229" s="312"/>
    </row>
    <row r="230" spans="1:96" s="300" customFormat="1" ht="15.75" customHeight="1">
      <c r="A230" s="313"/>
      <c r="B230" s="305" t="s">
        <v>1041</v>
      </c>
      <c r="C230" s="311">
        <v>3830</v>
      </c>
      <c r="D230" s="311">
        <v>4182</v>
      </c>
      <c r="E230" s="306">
        <f t="shared" si="39"/>
        <v>9.190600522193211</v>
      </c>
      <c r="F230" s="311">
        <v>10117</v>
      </c>
      <c r="G230" s="311">
        <v>12032</v>
      </c>
      <c r="H230" s="306">
        <f t="shared" si="40"/>
        <v>18.928536127310466</v>
      </c>
      <c r="I230" s="311">
        <v>2848</v>
      </c>
      <c r="J230" s="311">
        <v>4024.8</v>
      </c>
      <c r="K230" s="306">
        <f t="shared" si="41"/>
        <v>41.32022471910113</v>
      </c>
      <c r="L230" s="311">
        <v>8512</v>
      </c>
      <c r="M230" s="311">
        <v>10354.8</v>
      </c>
      <c r="N230" s="306">
        <f t="shared" si="42"/>
        <v>21.649436090225553</v>
      </c>
      <c r="O230" s="310"/>
      <c r="P230" s="311"/>
      <c r="Q230" s="306"/>
      <c r="R230" s="310"/>
      <c r="S230" s="311"/>
      <c r="T230" s="306"/>
      <c r="U230" s="310"/>
      <c r="V230" s="311"/>
      <c r="W230" s="306"/>
      <c r="X230" s="310"/>
      <c r="Y230" s="311"/>
      <c r="Z230" s="306"/>
      <c r="AA230" s="310"/>
      <c r="AB230" s="311"/>
      <c r="AC230" s="306"/>
      <c r="AD230" s="310"/>
      <c r="AE230" s="311"/>
      <c r="AF230" s="306"/>
      <c r="AG230" s="310"/>
      <c r="AH230" s="311"/>
      <c r="AI230" s="306"/>
      <c r="AJ230" s="310"/>
      <c r="AK230" s="311"/>
      <c r="AL230" s="306"/>
      <c r="AM230" s="310"/>
      <c r="AN230" s="311"/>
      <c r="AO230" s="306"/>
      <c r="AP230" s="310"/>
      <c r="AQ230" s="311"/>
      <c r="AR230" s="306"/>
      <c r="AS230" s="310"/>
      <c r="AT230" s="311"/>
      <c r="AU230" s="306"/>
      <c r="AV230" s="310"/>
      <c r="AW230" s="311"/>
      <c r="AX230" s="306"/>
      <c r="AY230" s="310"/>
      <c r="AZ230" s="311"/>
      <c r="BA230" s="306"/>
      <c r="BB230" s="310"/>
      <c r="BC230" s="311"/>
      <c r="BD230" s="306"/>
      <c r="BE230" s="312"/>
      <c r="BF230" s="312"/>
      <c r="BG230" s="312"/>
      <c r="BH230" s="312"/>
      <c r="BI230" s="312"/>
      <c r="BJ230" s="312"/>
      <c r="BK230" s="312"/>
      <c r="BL230" s="312"/>
      <c r="BM230" s="312"/>
      <c r="BN230" s="312"/>
      <c r="BO230" s="312"/>
      <c r="BP230" s="312"/>
      <c r="BQ230" s="312"/>
      <c r="BR230" s="312"/>
      <c r="BS230" s="312"/>
      <c r="BT230" s="312"/>
      <c r="BU230" s="312"/>
      <c r="BV230" s="312"/>
      <c r="BW230" s="312"/>
      <c r="BX230" s="312"/>
      <c r="BY230" s="312"/>
      <c r="BZ230" s="312"/>
      <c r="CA230" s="312"/>
      <c r="CB230" s="312"/>
      <c r="CC230" s="312"/>
      <c r="CD230" s="312"/>
      <c r="CE230" s="312"/>
      <c r="CF230" s="312"/>
      <c r="CG230" s="312"/>
      <c r="CH230" s="312"/>
      <c r="CI230" s="312"/>
      <c r="CJ230" s="312"/>
      <c r="CK230" s="312"/>
      <c r="CL230" s="312"/>
      <c r="CM230" s="312"/>
      <c r="CN230" s="312"/>
      <c r="CO230" s="312"/>
      <c r="CP230" s="312"/>
      <c r="CQ230" s="312"/>
      <c r="CR230" s="312"/>
    </row>
    <row r="231" spans="1:96" s="300" customFormat="1" ht="15.75" customHeight="1">
      <c r="A231" s="313"/>
      <c r="B231" s="305" t="s">
        <v>671</v>
      </c>
      <c r="C231" s="311"/>
      <c r="D231" s="311"/>
      <c r="E231" s="306">
        <f t="shared" si="39"/>
        <v>0</v>
      </c>
      <c r="F231" s="311"/>
      <c r="G231" s="311"/>
      <c r="H231" s="306">
        <f t="shared" si="40"/>
        <v>0</v>
      </c>
      <c r="I231" s="311"/>
      <c r="J231" s="311"/>
      <c r="K231" s="306"/>
      <c r="L231" s="310"/>
      <c r="M231" s="311"/>
      <c r="N231" s="306"/>
      <c r="O231" s="310"/>
      <c r="P231" s="311"/>
      <c r="Q231" s="306"/>
      <c r="R231" s="310"/>
      <c r="S231" s="311"/>
      <c r="T231" s="306"/>
      <c r="U231" s="310"/>
      <c r="V231" s="311"/>
      <c r="W231" s="306"/>
      <c r="X231" s="310"/>
      <c r="Y231" s="311"/>
      <c r="Z231" s="306"/>
      <c r="AA231" s="310"/>
      <c r="AB231" s="311"/>
      <c r="AC231" s="306"/>
      <c r="AD231" s="310"/>
      <c r="AE231" s="311"/>
      <c r="AF231" s="306"/>
      <c r="AG231" s="310"/>
      <c r="AH231" s="311"/>
      <c r="AI231" s="306"/>
      <c r="AJ231" s="310"/>
      <c r="AK231" s="311"/>
      <c r="AL231" s="306"/>
      <c r="AM231" s="310"/>
      <c r="AN231" s="311"/>
      <c r="AO231" s="306"/>
      <c r="AP231" s="310"/>
      <c r="AQ231" s="311"/>
      <c r="AR231" s="306"/>
      <c r="AS231" s="310"/>
      <c r="AT231" s="311"/>
      <c r="AU231" s="306"/>
      <c r="AV231" s="310"/>
      <c r="AW231" s="311"/>
      <c r="AX231" s="306"/>
      <c r="AY231" s="310"/>
      <c r="AZ231" s="311"/>
      <c r="BA231" s="306"/>
      <c r="BB231" s="310"/>
      <c r="BC231" s="311"/>
      <c r="BD231" s="306"/>
      <c r="BE231" s="312"/>
      <c r="BF231" s="312"/>
      <c r="BG231" s="312"/>
      <c r="BH231" s="312"/>
      <c r="BI231" s="312"/>
      <c r="BJ231" s="312"/>
      <c r="BK231" s="312"/>
      <c r="BL231" s="312"/>
      <c r="BM231" s="312"/>
      <c r="BN231" s="312"/>
      <c r="BO231" s="312"/>
      <c r="BP231" s="312"/>
      <c r="BQ231" s="312"/>
      <c r="BR231" s="312"/>
      <c r="BS231" s="312"/>
      <c r="BT231" s="312"/>
      <c r="BU231" s="312"/>
      <c r="BV231" s="312"/>
      <c r="BW231" s="312"/>
      <c r="BX231" s="312"/>
      <c r="BY231" s="312"/>
      <c r="BZ231" s="312"/>
      <c r="CA231" s="312"/>
      <c r="CB231" s="312"/>
      <c r="CC231" s="312"/>
      <c r="CD231" s="312"/>
      <c r="CE231" s="312"/>
      <c r="CF231" s="312"/>
      <c r="CG231" s="312"/>
      <c r="CH231" s="312"/>
      <c r="CI231" s="312"/>
      <c r="CJ231" s="312"/>
      <c r="CK231" s="312"/>
      <c r="CL231" s="312"/>
      <c r="CM231" s="312"/>
      <c r="CN231" s="312"/>
      <c r="CO231" s="312"/>
      <c r="CP231" s="312"/>
      <c r="CQ231" s="312"/>
      <c r="CR231" s="312"/>
    </row>
    <row r="232" spans="1:96" s="300" customFormat="1" ht="15.75" customHeight="1">
      <c r="A232" s="313"/>
      <c r="B232" s="305" t="s">
        <v>672</v>
      </c>
      <c r="C232" s="311">
        <v>1248</v>
      </c>
      <c r="D232" s="311">
        <v>1380</v>
      </c>
      <c r="E232" s="306">
        <f t="shared" si="39"/>
        <v>10.576923076923077</v>
      </c>
      <c r="F232" s="311">
        <v>3222</v>
      </c>
      <c r="G232" s="311">
        <v>2914</v>
      </c>
      <c r="H232" s="306">
        <f t="shared" si="40"/>
        <v>-9.559279950341402</v>
      </c>
      <c r="I232" s="311"/>
      <c r="J232" s="311"/>
      <c r="K232" s="306"/>
      <c r="L232" s="310"/>
      <c r="M232" s="311"/>
      <c r="N232" s="306"/>
      <c r="O232" s="310"/>
      <c r="P232" s="311"/>
      <c r="Q232" s="306"/>
      <c r="R232" s="310"/>
      <c r="S232" s="311"/>
      <c r="T232" s="306"/>
      <c r="U232" s="310"/>
      <c r="V232" s="311"/>
      <c r="W232" s="306"/>
      <c r="X232" s="310"/>
      <c r="Y232" s="311"/>
      <c r="Z232" s="306"/>
      <c r="AA232" s="310"/>
      <c r="AB232" s="311"/>
      <c r="AC232" s="306"/>
      <c r="AD232" s="310"/>
      <c r="AE232" s="311"/>
      <c r="AF232" s="306"/>
      <c r="AG232" s="310"/>
      <c r="AH232" s="311"/>
      <c r="AI232" s="306"/>
      <c r="AJ232" s="310"/>
      <c r="AK232" s="311"/>
      <c r="AL232" s="306"/>
      <c r="AM232" s="310"/>
      <c r="AN232" s="311"/>
      <c r="AO232" s="306"/>
      <c r="AP232" s="310"/>
      <c r="AQ232" s="311"/>
      <c r="AR232" s="306"/>
      <c r="AS232" s="310"/>
      <c r="AT232" s="311"/>
      <c r="AU232" s="306"/>
      <c r="AV232" s="310"/>
      <c r="AW232" s="311"/>
      <c r="AX232" s="306"/>
      <c r="AY232" s="310"/>
      <c r="AZ232" s="311"/>
      <c r="BA232" s="306"/>
      <c r="BB232" s="310"/>
      <c r="BC232" s="311"/>
      <c r="BD232" s="306"/>
      <c r="BE232" s="312"/>
      <c r="BF232" s="312"/>
      <c r="BG232" s="312"/>
      <c r="BH232" s="312"/>
      <c r="BI232" s="312"/>
      <c r="BJ232" s="312"/>
      <c r="BK232" s="312"/>
      <c r="BL232" s="312"/>
      <c r="BM232" s="312"/>
      <c r="BN232" s="312"/>
      <c r="BO232" s="312"/>
      <c r="BP232" s="312"/>
      <c r="BQ232" s="312"/>
      <c r="BR232" s="312"/>
      <c r="BS232" s="312"/>
      <c r="BT232" s="312"/>
      <c r="BU232" s="312"/>
      <c r="BV232" s="312"/>
      <c r="BW232" s="312"/>
      <c r="BX232" s="312"/>
      <c r="BY232" s="312"/>
      <c r="BZ232" s="312"/>
      <c r="CA232" s="312"/>
      <c r="CB232" s="312"/>
      <c r="CC232" s="312"/>
      <c r="CD232" s="312"/>
      <c r="CE232" s="312"/>
      <c r="CF232" s="312"/>
      <c r="CG232" s="312"/>
      <c r="CH232" s="312"/>
      <c r="CI232" s="312"/>
      <c r="CJ232" s="312"/>
      <c r="CK232" s="312"/>
      <c r="CL232" s="312"/>
      <c r="CM232" s="312"/>
      <c r="CN232" s="312"/>
      <c r="CO232" s="312"/>
      <c r="CP232" s="312"/>
      <c r="CQ232" s="312"/>
      <c r="CR232" s="312"/>
    </row>
    <row r="233" spans="1:96" s="300" customFormat="1" ht="15.75" customHeight="1">
      <c r="A233" s="313"/>
      <c r="B233" s="305" t="s">
        <v>673</v>
      </c>
      <c r="C233" s="311">
        <v>1119</v>
      </c>
      <c r="D233" s="311">
        <v>1275</v>
      </c>
      <c r="E233" s="306">
        <f t="shared" si="39"/>
        <v>13.941018766756033</v>
      </c>
      <c r="F233" s="311">
        <v>2400</v>
      </c>
      <c r="G233" s="311">
        <v>2543</v>
      </c>
      <c r="H233" s="306">
        <f t="shared" si="40"/>
        <v>5.958333333333334</v>
      </c>
      <c r="I233" s="311"/>
      <c r="J233" s="311"/>
      <c r="K233" s="306"/>
      <c r="L233" s="310"/>
      <c r="M233" s="311"/>
      <c r="N233" s="306"/>
      <c r="O233" s="310"/>
      <c r="P233" s="311"/>
      <c r="Q233" s="306"/>
      <c r="R233" s="310"/>
      <c r="S233" s="311"/>
      <c r="T233" s="306"/>
      <c r="U233" s="310"/>
      <c r="V233" s="311"/>
      <c r="W233" s="306"/>
      <c r="X233" s="310"/>
      <c r="Y233" s="311"/>
      <c r="Z233" s="306"/>
      <c r="AA233" s="310"/>
      <c r="AB233" s="311"/>
      <c r="AC233" s="306"/>
      <c r="AD233" s="310"/>
      <c r="AE233" s="311"/>
      <c r="AF233" s="306"/>
      <c r="AG233" s="310"/>
      <c r="AH233" s="311"/>
      <c r="AI233" s="306"/>
      <c r="AJ233" s="310"/>
      <c r="AK233" s="311"/>
      <c r="AL233" s="306"/>
      <c r="AM233" s="310"/>
      <c r="AN233" s="311"/>
      <c r="AO233" s="306"/>
      <c r="AP233" s="310"/>
      <c r="AQ233" s="311"/>
      <c r="AR233" s="306"/>
      <c r="AS233" s="310"/>
      <c r="AT233" s="311"/>
      <c r="AU233" s="306"/>
      <c r="AV233" s="310"/>
      <c r="AW233" s="311"/>
      <c r="AX233" s="306"/>
      <c r="AY233" s="310"/>
      <c r="AZ233" s="311"/>
      <c r="BA233" s="306"/>
      <c r="BB233" s="310"/>
      <c r="BC233" s="311"/>
      <c r="BD233" s="306"/>
      <c r="BE233" s="312"/>
      <c r="BF233" s="312"/>
      <c r="BG233" s="312"/>
      <c r="BH233" s="312"/>
      <c r="BI233" s="312"/>
      <c r="BJ233" s="312"/>
      <c r="BK233" s="312"/>
      <c r="BL233" s="312"/>
      <c r="BM233" s="312"/>
      <c r="BN233" s="312"/>
      <c r="BO233" s="312"/>
      <c r="BP233" s="312"/>
      <c r="BQ233" s="312"/>
      <c r="BR233" s="312"/>
      <c r="BS233" s="312"/>
      <c r="BT233" s="312"/>
      <c r="BU233" s="312"/>
      <c r="BV233" s="312"/>
      <c r="BW233" s="312"/>
      <c r="BX233" s="312"/>
      <c r="BY233" s="312"/>
      <c r="BZ233" s="312"/>
      <c r="CA233" s="312"/>
      <c r="CB233" s="312"/>
      <c r="CC233" s="312"/>
      <c r="CD233" s="312"/>
      <c r="CE233" s="312"/>
      <c r="CF233" s="312"/>
      <c r="CG233" s="312"/>
      <c r="CH233" s="312"/>
      <c r="CI233" s="312"/>
      <c r="CJ233" s="312"/>
      <c r="CK233" s="312"/>
      <c r="CL233" s="312"/>
      <c r="CM233" s="312"/>
      <c r="CN233" s="312"/>
      <c r="CO233" s="312"/>
      <c r="CP233" s="312"/>
      <c r="CQ233" s="312"/>
      <c r="CR233" s="312"/>
    </row>
    <row r="234" spans="1:96" s="300" customFormat="1" ht="15.75" customHeight="1">
      <c r="A234" s="313"/>
      <c r="B234" s="305" t="s">
        <v>76</v>
      </c>
      <c r="C234" s="311">
        <v>1574</v>
      </c>
      <c r="D234" s="311">
        <v>1737.5</v>
      </c>
      <c r="E234" s="306">
        <f t="shared" si="39"/>
        <v>10.387547649301144</v>
      </c>
      <c r="F234" s="311">
        <v>2474</v>
      </c>
      <c r="G234" s="311">
        <v>2425</v>
      </c>
      <c r="H234" s="306">
        <f t="shared" si="40"/>
        <v>-1.9805982215036377</v>
      </c>
      <c r="I234" s="311"/>
      <c r="J234" s="311"/>
      <c r="K234" s="306"/>
      <c r="L234" s="310"/>
      <c r="M234" s="311"/>
      <c r="N234" s="306"/>
      <c r="O234" s="310"/>
      <c r="P234" s="311"/>
      <c r="Q234" s="306"/>
      <c r="R234" s="310"/>
      <c r="S234" s="311"/>
      <c r="T234" s="306"/>
      <c r="U234" s="310"/>
      <c r="V234" s="311"/>
      <c r="W234" s="306"/>
      <c r="X234" s="310"/>
      <c r="Y234" s="311"/>
      <c r="Z234" s="306"/>
      <c r="AA234" s="310"/>
      <c r="AB234" s="311"/>
      <c r="AC234" s="306"/>
      <c r="AD234" s="310"/>
      <c r="AE234" s="311"/>
      <c r="AF234" s="306"/>
      <c r="AG234" s="310"/>
      <c r="AH234" s="311"/>
      <c r="AI234" s="306"/>
      <c r="AJ234" s="310"/>
      <c r="AK234" s="311"/>
      <c r="AL234" s="306"/>
      <c r="AM234" s="310"/>
      <c r="AN234" s="311"/>
      <c r="AO234" s="306"/>
      <c r="AP234" s="310"/>
      <c r="AQ234" s="311"/>
      <c r="AR234" s="306"/>
      <c r="AS234" s="310"/>
      <c r="AT234" s="311"/>
      <c r="AU234" s="306"/>
      <c r="AV234" s="310"/>
      <c r="AW234" s="311"/>
      <c r="AX234" s="306"/>
      <c r="AY234" s="310"/>
      <c r="AZ234" s="311"/>
      <c r="BA234" s="306"/>
      <c r="BB234" s="310"/>
      <c r="BC234" s="311"/>
      <c r="BD234" s="306"/>
      <c r="BE234" s="312"/>
      <c r="BF234" s="312"/>
      <c r="BG234" s="312"/>
      <c r="BH234" s="312"/>
      <c r="BI234" s="312"/>
      <c r="BJ234" s="312"/>
      <c r="BK234" s="312"/>
      <c r="BL234" s="312"/>
      <c r="BM234" s="312"/>
      <c r="BN234" s="312"/>
      <c r="BO234" s="312"/>
      <c r="BP234" s="312"/>
      <c r="BQ234" s="312"/>
      <c r="BR234" s="312"/>
      <c r="BS234" s="312"/>
      <c r="BT234" s="312"/>
      <c r="BU234" s="312"/>
      <c r="BV234" s="312"/>
      <c r="BW234" s="312"/>
      <c r="BX234" s="312"/>
      <c r="BY234" s="312"/>
      <c r="BZ234" s="312"/>
      <c r="CA234" s="312"/>
      <c r="CB234" s="312"/>
      <c r="CC234" s="312"/>
      <c r="CD234" s="312"/>
      <c r="CE234" s="312"/>
      <c r="CF234" s="312"/>
      <c r="CG234" s="312"/>
      <c r="CH234" s="312"/>
      <c r="CI234" s="312"/>
      <c r="CJ234" s="312"/>
      <c r="CK234" s="312"/>
      <c r="CL234" s="312"/>
      <c r="CM234" s="312"/>
      <c r="CN234" s="312"/>
      <c r="CO234" s="312"/>
      <c r="CP234" s="312"/>
      <c r="CQ234" s="312"/>
      <c r="CR234" s="312"/>
    </row>
    <row r="235" spans="1:96" s="300" customFormat="1" ht="15.75" customHeight="1">
      <c r="A235" s="313"/>
      <c r="B235" s="305" t="s">
        <v>473</v>
      </c>
      <c r="C235" s="311">
        <v>1248</v>
      </c>
      <c r="D235" s="311">
        <v>1345</v>
      </c>
      <c r="E235" s="306">
        <f t="shared" si="39"/>
        <v>7.772435897435898</v>
      </c>
      <c r="F235" s="311">
        <v>2425</v>
      </c>
      <c r="G235" s="311">
        <v>2676</v>
      </c>
      <c r="H235" s="306">
        <f t="shared" si="40"/>
        <v>10.350515463917526</v>
      </c>
      <c r="I235" s="311"/>
      <c r="J235" s="311"/>
      <c r="K235" s="306"/>
      <c r="L235" s="310"/>
      <c r="M235" s="311"/>
      <c r="N235" s="306"/>
      <c r="O235" s="310"/>
      <c r="P235" s="311"/>
      <c r="Q235" s="306"/>
      <c r="R235" s="310"/>
      <c r="S235" s="311"/>
      <c r="T235" s="306"/>
      <c r="U235" s="310"/>
      <c r="V235" s="311"/>
      <c r="W235" s="306"/>
      <c r="X235" s="310"/>
      <c r="Y235" s="311"/>
      <c r="Z235" s="306"/>
      <c r="AA235" s="310"/>
      <c r="AB235" s="311"/>
      <c r="AC235" s="306"/>
      <c r="AD235" s="310"/>
      <c r="AE235" s="311"/>
      <c r="AF235" s="306"/>
      <c r="AG235" s="310"/>
      <c r="AH235" s="311"/>
      <c r="AI235" s="306"/>
      <c r="AJ235" s="310"/>
      <c r="AK235" s="311"/>
      <c r="AL235" s="306"/>
      <c r="AM235" s="310"/>
      <c r="AN235" s="311"/>
      <c r="AO235" s="306"/>
      <c r="AP235" s="310"/>
      <c r="AQ235" s="311"/>
      <c r="AR235" s="306"/>
      <c r="AS235" s="310"/>
      <c r="AT235" s="311"/>
      <c r="AU235" s="306"/>
      <c r="AV235" s="310"/>
      <c r="AW235" s="311"/>
      <c r="AX235" s="306"/>
      <c r="AY235" s="310"/>
      <c r="AZ235" s="311"/>
      <c r="BA235" s="306"/>
      <c r="BB235" s="310"/>
      <c r="BC235" s="311"/>
      <c r="BD235" s="306"/>
      <c r="BE235" s="312"/>
      <c r="BF235" s="312"/>
      <c r="BG235" s="312"/>
      <c r="BH235" s="312"/>
      <c r="BI235" s="312"/>
      <c r="BJ235" s="312"/>
      <c r="BK235" s="312"/>
      <c r="BL235" s="312"/>
      <c r="BM235" s="312"/>
      <c r="BN235" s="312"/>
      <c r="BO235" s="312"/>
      <c r="BP235" s="312"/>
      <c r="BQ235" s="312"/>
      <c r="BR235" s="312"/>
      <c r="BS235" s="312"/>
      <c r="BT235" s="312"/>
      <c r="BU235" s="312"/>
      <c r="BV235" s="312"/>
      <c r="BW235" s="312"/>
      <c r="BX235" s="312"/>
      <c r="BY235" s="312"/>
      <c r="BZ235" s="312"/>
      <c r="CA235" s="312"/>
      <c r="CB235" s="312"/>
      <c r="CC235" s="312"/>
      <c r="CD235" s="312"/>
      <c r="CE235" s="312"/>
      <c r="CF235" s="312"/>
      <c r="CG235" s="312"/>
      <c r="CH235" s="312"/>
      <c r="CI235" s="312"/>
      <c r="CJ235" s="312"/>
      <c r="CK235" s="312"/>
      <c r="CL235" s="312"/>
      <c r="CM235" s="312"/>
      <c r="CN235" s="312"/>
      <c r="CO235" s="312"/>
      <c r="CP235" s="312"/>
      <c r="CQ235" s="312"/>
      <c r="CR235" s="312"/>
    </row>
    <row r="236" spans="1:96" s="300" customFormat="1" ht="15.75" customHeight="1">
      <c r="A236" s="313"/>
      <c r="B236" s="305" t="s">
        <v>77</v>
      </c>
      <c r="C236" s="311"/>
      <c r="D236" s="311"/>
      <c r="E236" s="306">
        <f aca="true" t="shared" si="43" ref="E236:E252">IF(C236&gt;0,(((D236-C236)/C236)*100),0)</f>
        <v>0</v>
      </c>
      <c r="F236" s="310"/>
      <c r="G236" s="311"/>
      <c r="H236" s="306">
        <f aca="true" t="shared" si="44" ref="H236:H252">IF(F236&gt;0,(((G236-F236)/F236)*100),0)</f>
        <v>0</v>
      </c>
      <c r="I236" s="310"/>
      <c r="J236" s="311"/>
      <c r="K236" s="306"/>
      <c r="L236" s="310"/>
      <c r="M236" s="311"/>
      <c r="N236" s="306"/>
      <c r="O236" s="310"/>
      <c r="P236" s="311"/>
      <c r="Q236" s="306"/>
      <c r="R236" s="310"/>
      <c r="S236" s="311"/>
      <c r="T236" s="306"/>
      <c r="U236" s="310"/>
      <c r="V236" s="311"/>
      <c r="W236" s="306"/>
      <c r="X236" s="310"/>
      <c r="Y236" s="311"/>
      <c r="Z236" s="306"/>
      <c r="AA236" s="310"/>
      <c r="AB236" s="311"/>
      <c r="AC236" s="306"/>
      <c r="AD236" s="310"/>
      <c r="AE236" s="311"/>
      <c r="AF236" s="306"/>
      <c r="AG236" s="310"/>
      <c r="AH236" s="311"/>
      <c r="AI236" s="306"/>
      <c r="AJ236" s="310"/>
      <c r="AK236" s="311"/>
      <c r="AL236" s="306"/>
      <c r="AM236" s="310"/>
      <c r="AN236" s="311"/>
      <c r="AO236" s="306"/>
      <c r="AP236" s="310"/>
      <c r="AQ236" s="311"/>
      <c r="AR236" s="306"/>
      <c r="AS236" s="310"/>
      <c r="AT236" s="311"/>
      <c r="AU236" s="306"/>
      <c r="AV236" s="310"/>
      <c r="AW236" s="311"/>
      <c r="AX236" s="306"/>
      <c r="AY236" s="310"/>
      <c r="AZ236" s="311"/>
      <c r="BA236" s="306"/>
      <c r="BB236" s="310"/>
      <c r="BC236" s="311"/>
      <c r="BD236" s="306"/>
      <c r="BE236" s="312"/>
      <c r="BF236" s="312"/>
      <c r="BG236" s="312"/>
      <c r="BH236" s="312"/>
      <c r="BI236" s="312"/>
      <c r="BJ236" s="312"/>
      <c r="BK236" s="312"/>
      <c r="BL236" s="312"/>
      <c r="BM236" s="312"/>
      <c r="BN236" s="312"/>
      <c r="BO236" s="312"/>
      <c r="BP236" s="312"/>
      <c r="BQ236" s="312"/>
      <c r="BR236" s="312"/>
      <c r="BS236" s="312"/>
      <c r="BT236" s="312"/>
      <c r="BU236" s="312"/>
      <c r="BV236" s="312"/>
      <c r="BW236" s="312"/>
      <c r="BX236" s="312"/>
      <c r="BY236" s="312"/>
      <c r="BZ236" s="312"/>
      <c r="CA236" s="312"/>
      <c r="CB236" s="312"/>
      <c r="CC236" s="312"/>
      <c r="CD236" s="312"/>
      <c r="CE236" s="312"/>
      <c r="CF236" s="312"/>
      <c r="CG236" s="312"/>
      <c r="CH236" s="312"/>
      <c r="CI236" s="312"/>
      <c r="CJ236" s="312"/>
      <c r="CK236" s="312"/>
      <c r="CL236" s="312"/>
      <c r="CM236" s="312"/>
      <c r="CN236" s="312"/>
      <c r="CO236" s="312"/>
      <c r="CP236" s="312"/>
      <c r="CQ236" s="312"/>
      <c r="CR236" s="312"/>
    </row>
    <row r="237" spans="1:96" s="300" customFormat="1" ht="15.75" customHeight="1">
      <c r="A237" s="313"/>
      <c r="B237" s="305" t="s">
        <v>63</v>
      </c>
      <c r="C237" s="311"/>
      <c r="D237" s="311"/>
      <c r="E237" s="306">
        <f t="shared" si="43"/>
        <v>0</v>
      </c>
      <c r="F237" s="310"/>
      <c r="G237" s="311"/>
      <c r="H237" s="306">
        <f t="shared" si="44"/>
        <v>0</v>
      </c>
      <c r="I237" s="310"/>
      <c r="J237" s="311"/>
      <c r="K237" s="306"/>
      <c r="L237" s="310"/>
      <c r="M237" s="311"/>
      <c r="N237" s="306"/>
      <c r="O237" s="310"/>
      <c r="P237" s="311"/>
      <c r="Q237" s="306"/>
      <c r="R237" s="310"/>
      <c r="S237" s="311"/>
      <c r="T237" s="306"/>
      <c r="U237" s="310"/>
      <c r="V237" s="311"/>
      <c r="W237" s="306"/>
      <c r="X237" s="310"/>
      <c r="Y237" s="311"/>
      <c r="Z237" s="306"/>
      <c r="AA237" s="310"/>
      <c r="AB237" s="311"/>
      <c r="AC237" s="306"/>
      <c r="AD237" s="310"/>
      <c r="AE237" s="311"/>
      <c r="AF237" s="306"/>
      <c r="AG237" s="310"/>
      <c r="AH237" s="311"/>
      <c r="AI237" s="306"/>
      <c r="AJ237" s="310"/>
      <c r="AK237" s="311"/>
      <c r="AL237" s="306"/>
      <c r="AM237" s="310"/>
      <c r="AN237" s="311"/>
      <c r="AO237" s="306"/>
      <c r="AP237" s="310"/>
      <c r="AQ237" s="311"/>
      <c r="AR237" s="306"/>
      <c r="AS237" s="310"/>
      <c r="AT237" s="311"/>
      <c r="AU237" s="306"/>
      <c r="AV237" s="310"/>
      <c r="AW237" s="311"/>
      <c r="AX237" s="306"/>
      <c r="AY237" s="310"/>
      <c r="AZ237" s="311"/>
      <c r="BA237" s="306"/>
      <c r="BB237" s="310"/>
      <c r="BC237" s="311"/>
      <c r="BD237" s="306"/>
      <c r="BE237" s="312"/>
      <c r="BF237" s="312"/>
      <c r="BG237" s="312"/>
      <c r="BH237" s="312"/>
      <c r="BI237" s="312"/>
      <c r="BJ237" s="312"/>
      <c r="BK237" s="312"/>
      <c r="BL237" s="312"/>
      <c r="BM237" s="312"/>
      <c r="BN237" s="312"/>
      <c r="BO237" s="312"/>
      <c r="BP237" s="312"/>
      <c r="BQ237" s="312"/>
      <c r="BR237" s="312"/>
      <c r="BS237" s="312"/>
      <c r="BT237" s="312"/>
      <c r="BU237" s="312"/>
      <c r="BV237" s="312"/>
      <c r="BW237" s="312"/>
      <c r="BX237" s="312"/>
      <c r="BY237" s="312"/>
      <c r="BZ237" s="312"/>
      <c r="CA237" s="312"/>
      <c r="CB237" s="312"/>
      <c r="CC237" s="312"/>
      <c r="CD237" s="312"/>
      <c r="CE237" s="312"/>
      <c r="CF237" s="312"/>
      <c r="CG237" s="312"/>
      <c r="CH237" s="312"/>
      <c r="CI237" s="312"/>
      <c r="CJ237" s="312"/>
      <c r="CK237" s="312"/>
      <c r="CL237" s="312"/>
      <c r="CM237" s="312"/>
      <c r="CN237" s="312"/>
      <c r="CO237" s="312"/>
      <c r="CP237" s="312"/>
      <c r="CQ237" s="312"/>
      <c r="CR237" s="312"/>
    </row>
    <row r="238" spans="1:96" s="300" customFormat="1" ht="15.75" customHeight="1">
      <c r="A238" s="313"/>
      <c r="B238" s="305" t="s">
        <v>64</v>
      </c>
      <c r="C238" s="311"/>
      <c r="D238" s="311"/>
      <c r="E238" s="306">
        <f t="shared" si="43"/>
        <v>0</v>
      </c>
      <c r="F238" s="310"/>
      <c r="G238" s="311"/>
      <c r="H238" s="306">
        <f t="shared" si="44"/>
        <v>0</v>
      </c>
      <c r="I238" s="310"/>
      <c r="J238" s="311"/>
      <c r="K238" s="306"/>
      <c r="L238" s="310"/>
      <c r="M238" s="311"/>
      <c r="N238" s="306"/>
      <c r="O238" s="310"/>
      <c r="P238" s="311"/>
      <c r="Q238" s="306"/>
      <c r="R238" s="310"/>
      <c r="S238" s="311"/>
      <c r="T238" s="306"/>
      <c r="U238" s="310"/>
      <c r="V238" s="311"/>
      <c r="W238" s="306"/>
      <c r="X238" s="310"/>
      <c r="Y238" s="311"/>
      <c r="Z238" s="306"/>
      <c r="AA238" s="310"/>
      <c r="AB238" s="311"/>
      <c r="AC238" s="306"/>
      <c r="AD238" s="310"/>
      <c r="AE238" s="311"/>
      <c r="AF238" s="306"/>
      <c r="AG238" s="310"/>
      <c r="AH238" s="311"/>
      <c r="AI238" s="306"/>
      <c r="AJ238" s="310"/>
      <c r="AK238" s="311"/>
      <c r="AL238" s="306"/>
      <c r="AM238" s="310"/>
      <c r="AN238" s="311"/>
      <c r="AO238" s="306"/>
      <c r="AP238" s="310"/>
      <c r="AQ238" s="311"/>
      <c r="AR238" s="306"/>
      <c r="AS238" s="310"/>
      <c r="AT238" s="311"/>
      <c r="AU238" s="306"/>
      <c r="AV238" s="310"/>
      <c r="AW238" s="311"/>
      <c r="AX238" s="306"/>
      <c r="AY238" s="310"/>
      <c r="AZ238" s="311"/>
      <c r="BA238" s="306"/>
      <c r="BB238" s="310"/>
      <c r="BC238" s="311"/>
      <c r="BD238" s="306"/>
      <c r="BE238" s="312"/>
      <c r="BF238" s="312"/>
      <c r="BG238" s="312"/>
      <c r="BH238" s="312"/>
      <c r="BI238" s="312"/>
      <c r="BJ238" s="312"/>
      <c r="BK238" s="312"/>
      <c r="BL238" s="312"/>
      <c r="BM238" s="312"/>
      <c r="BN238" s="312"/>
      <c r="BO238" s="312"/>
      <c r="BP238" s="312"/>
      <c r="BQ238" s="312"/>
      <c r="BR238" s="312"/>
      <c r="BS238" s="312"/>
      <c r="BT238" s="312"/>
      <c r="BU238" s="312"/>
      <c r="BV238" s="312"/>
      <c r="BW238" s="312"/>
      <c r="BX238" s="312"/>
      <c r="BY238" s="312"/>
      <c r="BZ238" s="312"/>
      <c r="CA238" s="312"/>
      <c r="CB238" s="312"/>
      <c r="CC238" s="312"/>
      <c r="CD238" s="312"/>
      <c r="CE238" s="312"/>
      <c r="CF238" s="312"/>
      <c r="CG238" s="312"/>
      <c r="CH238" s="312"/>
      <c r="CI238" s="312"/>
      <c r="CJ238" s="312"/>
      <c r="CK238" s="312"/>
      <c r="CL238" s="312"/>
      <c r="CM238" s="312"/>
      <c r="CN238" s="312"/>
      <c r="CO238" s="312"/>
      <c r="CP238" s="312"/>
      <c r="CQ238" s="312"/>
      <c r="CR238" s="312"/>
    </row>
    <row r="239" spans="1:96" s="300" customFormat="1" ht="15.75" customHeight="1">
      <c r="A239" s="313"/>
      <c r="B239" s="305" t="s">
        <v>970</v>
      </c>
      <c r="C239" s="311"/>
      <c r="D239" s="311"/>
      <c r="E239" s="306">
        <f t="shared" si="43"/>
        <v>0</v>
      </c>
      <c r="F239" s="310"/>
      <c r="G239" s="311"/>
      <c r="H239" s="306">
        <f t="shared" si="44"/>
        <v>0</v>
      </c>
      <c r="I239" s="310"/>
      <c r="J239" s="311"/>
      <c r="K239" s="306"/>
      <c r="L239" s="310"/>
      <c r="M239" s="311"/>
      <c r="N239" s="306"/>
      <c r="O239" s="310"/>
      <c r="P239" s="311"/>
      <c r="Q239" s="306"/>
      <c r="R239" s="310"/>
      <c r="S239" s="311"/>
      <c r="T239" s="306"/>
      <c r="U239" s="310"/>
      <c r="V239" s="311"/>
      <c r="W239" s="306"/>
      <c r="X239" s="310"/>
      <c r="Y239" s="311"/>
      <c r="Z239" s="306"/>
      <c r="AA239" s="310"/>
      <c r="AB239" s="311"/>
      <c r="AC239" s="306"/>
      <c r="AD239" s="310"/>
      <c r="AE239" s="311"/>
      <c r="AF239" s="306"/>
      <c r="AG239" s="310"/>
      <c r="AH239" s="311"/>
      <c r="AI239" s="306"/>
      <c r="AJ239" s="310"/>
      <c r="AK239" s="311"/>
      <c r="AL239" s="306"/>
      <c r="AM239" s="310"/>
      <c r="AN239" s="311"/>
      <c r="AO239" s="306"/>
      <c r="AP239" s="310"/>
      <c r="AQ239" s="311"/>
      <c r="AR239" s="306"/>
      <c r="AS239" s="310"/>
      <c r="AT239" s="311"/>
      <c r="AU239" s="306"/>
      <c r="AV239" s="310"/>
      <c r="AW239" s="311"/>
      <c r="AX239" s="306"/>
      <c r="AY239" s="310"/>
      <c r="AZ239" s="311"/>
      <c r="BA239" s="306"/>
      <c r="BB239" s="310"/>
      <c r="BC239" s="311"/>
      <c r="BD239" s="306"/>
      <c r="BE239" s="312"/>
      <c r="BF239" s="312"/>
      <c r="BG239" s="312"/>
      <c r="BH239" s="312"/>
      <c r="BI239" s="312"/>
      <c r="BJ239" s="312"/>
      <c r="BK239" s="312"/>
      <c r="BL239" s="312"/>
      <c r="BM239" s="312"/>
      <c r="BN239" s="312"/>
      <c r="BO239" s="312"/>
      <c r="BP239" s="312"/>
      <c r="BQ239" s="312"/>
      <c r="BR239" s="312"/>
      <c r="BS239" s="312"/>
      <c r="BT239" s="312"/>
      <c r="BU239" s="312"/>
      <c r="BV239" s="312"/>
      <c r="BW239" s="312"/>
      <c r="BX239" s="312"/>
      <c r="BY239" s="312"/>
      <c r="BZ239" s="312"/>
      <c r="CA239" s="312"/>
      <c r="CB239" s="312"/>
      <c r="CC239" s="312"/>
      <c r="CD239" s="312"/>
      <c r="CE239" s="312"/>
      <c r="CF239" s="312"/>
      <c r="CG239" s="312"/>
      <c r="CH239" s="312"/>
      <c r="CI239" s="312"/>
      <c r="CJ239" s="312"/>
      <c r="CK239" s="312"/>
      <c r="CL239" s="312"/>
      <c r="CM239" s="312"/>
      <c r="CN239" s="312"/>
      <c r="CO239" s="312"/>
      <c r="CP239" s="312"/>
      <c r="CQ239" s="312"/>
      <c r="CR239" s="312"/>
    </row>
    <row r="240" spans="1:96" s="321" customFormat="1" ht="15.75" customHeight="1">
      <c r="A240" s="314"/>
      <c r="B240" s="315"/>
      <c r="C240" s="317"/>
      <c r="D240" s="317"/>
      <c r="E240" s="318">
        <f t="shared" si="43"/>
        <v>0</v>
      </c>
      <c r="F240" s="316"/>
      <c r="G240" s="317"/>
      <c r="H240" s="318">
        <f t="shared" si="44"/>
        <v>0</v>
      </c>
      <c r="I240" s="316"/>
      <c r="J240" s="317"/>
      <c r="K240" s="318"/>
      <c r="L240" s="316"/>
      <c r="M240" s="317"/>
      <c r="N240" s="318"/>
      <c r="O240" s="316">
        <v>9286</v>
      </c>
      <c r="P240" s="317">
        <v>11821</v>
      </c>
      <c r="Q240" s="318">
        <f>IF(O240&gt;0,(((P240-O240)/O240)*100),0)</f>
        <v>27.29916002584536</v>
      </c>
      <c r="R240" s="317">
        <v>15582.5</v>
      </c>
      <c r="S240" s="317">
        <v>18101</v>
      </c>
      <c r="T240" s="318">
        <f>IF(R240&gt;0,(((S240-R240)/R240)*100),0)</f>
        <v>16.162361623616235</v>
      </c>
      <c r="U240" s="317">
        <v>8374</v>
      </c>
      <c r="V240" s="317">
        <v>9897</v>
      </c>
      <c r="W240" s="318">
        <f>IF(U240&gt;0,(((V240-U240)/U240)*100),0)</f>
        <v>18.18724623835682</v>
      </c>
      <c r="X240" s="317">
        <v>21650</v>
      </c>
      <c r="Y240" s="317">
        <v>22997</v>
      </c>
      <c r="Z240" s="318">
        <f>IF(X240&gt;0,(((Y240-X240)/X240)*100),0)</f>
        <v>6.221709006928407</v>
      </c>
      <c r="AA240" s="317">
        <v>7020</v>
      </c>
      <c r="AB240" s="317">
        <v>10795</v>
      </c>
      <c r="AC240" s="318">
        <f>IF(AA240&gt;0,(((AB240-AA240)/AA240)*100),0)</f>
        <v>53.774928774928775</v>
      </c>
      <c r="AD240" s="317">
        <v>17820</v>
      </c>
      <c r="AE240" s="317">
        <v>21595</v>
      </c>
      <c r="AF240" s="318">
        <f>IF(AD240&gt;0,(((AE240-AD240)/AD240)*100),0)</f>
        <v>21.184062850729518</v>
      </c>
      <c r="AG240" s="317">
        <v>5169</v>
      </c>
      <c r="AH240" s="317">
        <v>7555</v>
      </c>
      <c r="AI240" s="318">
        <f>IF(AG240&gt;0,(((AH240-AG240)/AG240)*100),0)</f>
        <v>46.159798800541694</v>
      </c>
      <c r="AJ240" s="317">
        <v>11887.5</v>
      </c>
      <c r="AK240" s="317">
        <v>16579.5</v>
      </c>
      <c r="AL240" s="318">
        <f>IF(AJ240&gt;0,(((AK240-AJ240)/AJ240)*100),0)</f>
        <v>39.47003154574132</v>
      </c>
      <c r="AM240" s="317">
        <v>10844</v>
      </c>
      <c r="AN240" s="317">
        <v>9294</v>
      </c>
      <c r="AO240" s="318">
        <f>IF(AM240&gt;0,(((AN240-AM240)/AM240)*100),0)</f>
        <v>-14.293618590925858</v>
      </c>
      <c r="AP240" s="317">
        <v>20284</v>
      </c>
      <c r="AQ240" s="317">
        <v>17034</v>
      </c>
      <c r="AR240" s="318">
        <f>IF(AP240&gt;0,(((AQ240-AP240)/AP240)*100),0)</f>
        <v>-16.022480773023073</v>
      </c>
      <c r="AS240" s="317"/>
      <c r="AT240" s="317"/>
      <c r="AU240" s="318"/>
      <c r="AV240" s="317"/>
      <c r="AW240" s="317"/>
      <c r="AX240" s="318"/>
      <c r="AY240" s="317">
        <v>10235</v>
      </c>
      <c r="AZ240" s="317">
        <v>11714</v>
      </c>
      <c r="BA240" s="318">
        <f>IF(AY240&gt;0,(((AZ240-AY240)/AY240)*100),0)</f>
        <v>14.450415241817293</v>
      </c>
      <c r="BB240" s="317">
        <v>21035</v>
      </c>
      <c r="BC240" s="317">
        <v>22514</v>
      </c>
      <c r="BD240" s="318">
        <f>IF(BB240&gt;0,(((BC240-BB240)/BB240)*100),0)</f>
        <v>7.031138578559544</v>
      </c>
      <c r="BE240" s="320"/>
      <c r="BF240" s="320"/>
      <c r="BG240" s="320"/>
      <c r="BH240" s="320"/>
      <c r="BI240" s="320"/>
      <c r="BJ240" s="320"/>
      <c r="BK240" s="320"/>
      <c r="BL240" s="320"/>
      <c r="BM240" s="320"/>
      <c r="BN240" s="320"/>
      <c r="BO240" s="320"/>
      <c r="BP240" s="320"/>
      <c r="BQ240" s="320"/>
      <c r="BR240" s="320"/>
      <c r="BS240" s="320"/>
      <c r="BT240" s="320"/>
      <c r="BU240" s="320"/>
      <c r="BV240" s="320"/>
      <c r="BW240" s="320"/>
      <c r="BX240" s="320"/>
      <c r="BY240" s="320"/>
      <c r="BZ240" s="320"/>
      <c r="CA240" s="320"/>
      <c r="CB240" s="320"/>
      <c r="CC240" s="320"/>
      <c r="CD240" s="320"/>
      <c r="CE240" s="320"/>
      <c r="CF240" s="320"/>
      <c r="CG240" s="320"/>
      <c r="CH240" s="320"/>
      <c r="CI240" s="320"/>
      <c r="CJ240" s="320"/>
      <c r="CK240" s="320"/>
      <c r="CL240" s="320"/>
      <c r="CM240" s="320"/>
      <c r="CN240" s="320"/>
      <c r="CO240" s="320"/>
      <c r="CP240" s="320"/>
      <c r="CQ240" s="320"/>
      <c r="CR240" s="320"/>
    </row>
    <row r="241" spans="1:96" s="300" customFormat="1" ht="15.75" customHeight="1" thickBot="1">
      <c r="A241" s="304" t="s">
        <v>398</v>
      </c>
      <c r="B241" s="305" t="s">
        <v>665</v>
      </c>
      <c r="C241" s="334">
        <v>5529.5</v>
      </c>
      <c r="D241" s="334">
        <v>6219</v>
      </c>
      <c r="E241" s="335">
        <f t="shared" si="43"/>
        <v>12.46948186997016</v>
      </c>
      <c r="F241" s="310">
        <v>18506.5</v>
      </c>
      <c r="G241" s="311">
        <v>19640.5</v>
      </c>
      <c r="H241" s="306">
        <f t="shared" si="44"/>
        <v>6.127576797341475</v>
      </c>
      <c r="I241" s="333">
        <v>7400</v>
      </c>
      <c r="J241" s="334">
        <v>8356</v>
      </c>
      <c r="K241" s="335">
        <f aca="true" t="shared" si="45" ref="K241:K257">IF(I241&gt;0,(((J241-I241)/I241)*100),0)</f>
        <v>12.91891891891892</v>
      </c>
      <c r="L241" s="310">
        <v>15313.5</v>
      </c>
      <c r="M241" s="311">
        <v>15941</v>
      </c>
      <c r="N241" s="306">
        <f aca="true" t="shared" si="46" ref="N241:N247">IF(L241&gt;0,(((M241-L241)/L241)*100),0)</f>
        <v>4.097691579325432</v>
      </c>
      <c r="O241" s="310"/>
      <c r="P241" s="311"/>
      <c r="Q241" s="306"/>
      <c r="R241" s="310"/>
      <c r="S241" s="311"/>
      <c r="T241" s="306"/>
      <c r="U241" s="310"/>
      <c r="V241" s="311"/>
      <c r="W241" s="306"/>
      <c r="X241" s="310"/>
      <c r="Y241" s="311"/>
      <c r="Z241" s="306"/>
      <c r="AA241" s="310"/>
      <c r="AB241" s="311"/>
      <c r="AC241" s="306"/>
      <c r="AD241" s="310"/>
      <c r="AE241" s="311"/>
      <c r="AF241" s="306"/>
      <c r="AG241" s="310"/>
      <c r="AH241" s="311"/>
      <c r="AI241" s="306"/>
      <c r="AJ241" s="310"/>
      <c r="AK241" s="311"/>
      <c r="AL241" s="306"/>
      <c r="AM241" s="310"/>
      <c r="AN241" s="311"/>
      <c r="AO241" s="306"/>
      <c r="AP241" s="310"/>
      <c r="AQ241" s="311"/>
      <c r="AR241" s="306"/>
      <c r="AS241" s="310"/>
      <c r="AT241" s="311"/>
      <c r="AU241" s="306"/>
      <c r="AV241" s="310"/>
      <c r="AW241" s="311"/>
      <c r="AX241" s="306"/>
      <c r="AY241" s="310"/>
      <c r="AZ241" s="311"/>
      <c r="BA241" s="306"/>
      <c r="BB241" s="310"/>
      <c r="BC241" s="311"/>
      <c r="BD241" s="306"/>
      <c r="BE241" s="312"/>
      <c r="BF241" s="312"/>
      <c r="BG241" s="312"/>
      <c r="BH241" s="312"/>
      <c r="BI241" s="312"/>
      <c r="BJ241" s="312"/>
      <c r="BK241" s="312"/>
      <c r="BL241" s="312"/>
      <c r="BM241" s="312"/>
      <c r="BN241" s="312"/>
      <c r="BO241" s="312"/>
      <c r="BP241" s="312"/>
      <c r="BQ241" s="312"/>
      <c r="BR241" s="312"/>
      <c r="BS241" s="312"/>
      <c r="BT241" s="312"/>
      <c r="BU241" s="312"/>
      <c r="BV241" s="312"/>
      <c r="BW241" s="312"/>
      <c r="BX241" s="312"/>
      <c r="BY241" s="312"/>
      <c r="BZ241" s="312"/>
      <c r="CA241" s="312"/>
      <c r="CB241" s="312"/>
      <c r="CC241" s="312"/>
      <c r="CD241" s="312"/>
      <c r="CE241" s="312"/>
      <c r="CF241" s="312"/>
      <c r="CG241" s="312"/>
      <c r="CH241" s="312"/>
      <c r="CI241" s="312"/>
      <c r="CJ241" s="312"/>
      <c r="CK241" s="312"/>
      <c r="CL241" s="312"/>
      <c r="CM241" s="312"/>
      <c r="CN241" s="312"/>
      <c r="CO241" s="312"/>
      <c r="CP241" s="312"/>
      <c r="CQ241" s="312"/>
      <c r="CR241" s="312"/>
    </row>
    <row r="242" spans="1:96" s="300" customFormat="1" ht="15.75" customHeight="1" thickBot="1">
      <c r="A242" s="313"/>
      <c r="B242" s="305" t="s">
        <v>666</v>
      </c>
      <c r="C242" s="311">
        <v>5020</v>
      </c>
      <c r="D242" s="311">
        <v>5358</v>
      </c>
      <c r="E242" s="306">
        <f t="shared" si="43"/>
        <v>6.733067729083666</v>
      </c>
      <c r="F242" s="310">
        <v>16082.5</v>
      </c>
      <c r="G242" s="311">
        <v>16559</v>
      </c>
      <c r="H242" s="306">
        <f t="shared" si="44"/>
        <v>2.962847815949013</v>
      </c>
      <c r="I242" s="310">
        <v>6455</v>
      </c>
      <c r="J242" s="311">
        <v>6827</v>
      </c>
      <c r="K242" s="306">
        <f t="shared" si="45"/>
        <v>5.762974438419829</v>
      </c>
      <c r="L242" s="310">
        <v>16074.5</v>
      </c>
      <c r="M242" s="311">
        <v>16542</v>
      </c>
      <c r="N242" s="306">
        <f t="shared" si="46"/>
        <v>2.908333074123612</v>
      </c>
      <c r="O242" s="310"/>
      <c r="P242" s="311"/>
      <c r="Q242" s="306"/>
      <c r="R242" s="310"/>
      <c r="S242" s="311"/>
      <c r="T242" s="306"/>
      <c r="U242" s="310"/>
      <c r="V242" s="311"/>
      <c r="W242" s="306"/>
      <c r="X242" s="310"/>
      <c r="Y242" s="311"/>
      <c r="Z242" s="306"/>
      <c r="AA242" s="310"/>
      <c r="AB242" s="311"/>
      <c r="AC242" s="306"/>
      <c r="AD242" s="310"/>
      <c r="AE242" s="311"/>
      <c r="AF242" s="306"/>
      <c r="AG242" s="310"/>
      <c r="AH242" s="311"/>
      <c r="AI242" s="306"/>
      <c r="AJ242" s="310"/>
      <c r="AK242" s="311"/>
      <c r="AL242" s="306"/>
      <c r="AM242" s="310"/>
      <c r="AN242" s="311"/>
      <c r="AO242" s="306"/>
      <c r="AP242" s="310"/>
      <c r="AQ242" s="311"/>
      <c r="AR242" s="306"/>
      <c r="AS242" s="310"/>
      <c r="AT242" s="311"/>
      <c r="AU242" s="306"/>
      <c r="AV242" s="310"/>
      <c r="AW242" s="311"/>
      <c r="AX242" s="306"/>
      <c r="AY242" s="310"/>
      <c r="AZ242" s="311"/>
      <c r="BA242" s="306"/>
      <c r="BB242" s="310"/>
      <c r="BC242" s="311"/>
      <c r="BD242" s="306"/>
      <c r="BE242" s="312"/>
      <c r="BF242" s="312"/>
      <c r="BG242" s="312"/>
      <c r="BH242" s="312"/>
      <c r="BI242" s="312"/>
      <c r="BJ242" s="312"/>
      <c r="BK242" s="312"/>
      <c r="BL242" s="312"/>
      <c r="BM242" s="312"/>
      <c r="BN242" s="312"/>
      <c r="BO242" s="312"/>
      <c r="BP242" s="312"/>
      <c r="BQ242" s="312"/>
      <c r="BR242" s="312"/>
      <c r="BS242" s="312"/>
      <c r="BT242" s="312"/>
      <c r="BU242" s="312"/>
      <c r="BV242" s="312"/>
      <c r="BW242" s="312"/>
      <c r="BX242" s="312"/>
      <c r="BY242" s="312"/>
      <c r="BZ242" s="312"/>
      <c r="CA242" s="312"/>
      <c r="CB242" s="312"/>
      <c r="CC242" s="312"/>
      <c r="CD242" s="312"/>
      <c r="CE242" s="312"/>
      <c r="CF242" s="312"/>
      <c r="CG242" s="312"/>
      <c r="CH242" s="312"/>
      <c r="CI242" s="312"/>
      <c r="CJ242" s="312"/>
      <c r="CK242" s="312"/>
      <c r="CL242" s="312"/>
      <c r="CM242" s="312"/>
      <c r="CN242" s="312"/>
      <c r="CO242" s="312"/>
      <c r="CP242" s="312"/>
      <c r="CQ242" s="312"/>
      <c r="CR242" s="312"/>
    </row>
    <row r="243" spans="1:96" s="300" customFormat="1" ht="15.75" customHeight="1" thickBot="1">
      <c r="A243" s="313"/>
      <c r="B243" s="305" t="s">
        <v>667</v>
      </c>
      <c r="C243" s="308">
        <v>4599</v>
      </c>
      <c r="D243" s="308">
        <v>5119</v>
      </c>
      <c r="E243" s="309">
        <f t="shared" si="43"/>
        <v>11.306805827353772</v>
      </c>
      <c r="F243" s="310">
        <v>12241</v>
      </c>
      <c r="G243" s="311">
        <v>13090</v>
      </c>
      <c r="H243" s="306">
        <f t="shared" si="44"/>
        <v>6.93570786700433</v>
      </c>
      <c r="I243" s="310">
        <v>4993</v>
      </c>
      <c r="J243" s="311">
        <v>5422</v>
      </c>
      <c r="K243" s="306">
        <f t="shared" si="45"/>
        <v>8.592028840376527</v>
      </c>
      <c r="L243" s="310">
        <v>12025</v>
      </c>
      <c r="M243" s="311">
        <v>12927</v>
      </c>
      <c r="N243" s="306">
        <f t="shared" si="46"/>
        <v>7.501039501039501</v>
      </c>
      <c r="O243" s="310"/>
      <c r="P243" s="311"/>
      <c r="Q243" s="306"/>
      <c r="R243" s="310"/>
      <c r="S243" s="311"/>
      <c r="T243" s="306"/>
      <c r="U243" s="310"/>
      <c r="V243" s="311"/>
      <c r="W243" s="306"/>
      <c r="X243" s="310"/>
      <c r="Y243" s="311"/>
      <c r="Z243" s="306"/>
      <c r="AA243" s="310"/>
      <c r="AB243" s="311"/>
      <c r="AC243" s="306"/>
      <c r="AD243" s="310"/>
      <c r="AE243" s="311"/>
      <c r="AF243" s="306"/>
      <c r="AG243" s="310"/>
      <c r="AH243" s="311"/>
      <c r="AI243" s="306"/>
      <c r="AJ243" s="310"/>
      <c r="AK243" s="311"/>
      <c r="AL243" s="306"/>
      <c r="AM243" s="310"/>
      <c r="AN243" s="311"/>
      <c r="AO243" s="306"/>
      <c r="AP243" s="310"/>
      <c r="AQ243" s="311"/>
      <c r="AR243" s="306"/>
      <c r="AS243" s="310"/>
      <c r="AT243" s="311"/>
      <c r="AU243" s="306"/>
      <c r="AV243" s="310"/>
      <c r="AW243" s="311"/>
      <c r="AX243" s="306"/>
      <c r="AY243" s="310"/>
      <c r="AZ243" s="311"/>
      <c r="BA243" s="306"/>
      <c r="BB243" s="310"/>
      <c r="BC243" s="311"/>
      <c r="BD243" s="306"/>
      <c r="BE243" s="312"/>
      <c r="BF243" s="312"/>
      <c r="BG243" s="312"/>
      <c r="BH243" s="312"/>
      <c r="BI243" s="312"/>
      <c r="BJ243" s="312"/>
      <c r="BK243" s="312"/>
      <c r="BL243" s="312"/>
      <c r="BM243" s="312"/>
      <c r="BN243" s="312"/>
      <c r="BO243" s="312"/>
      <c r="BP243" s="312"/>
      <c r="BQ243" s="312"/>
      <c r="BR243" s="312"/>
      <c r="BS243" s="312"/>
      <c r="BT243" s="312"/>
      <c r="BU243" s="312"/>
      <c r="BV243" s="312"/>
      <c r="BW243" s="312"/>
      <c r="BX243" s="312"/>
      <c r="BY243" s="312"/>
      <c r="BZ243" s="312"/>
      <c r="CA243" s="312"/>
      <c r="CB243" s="312"/>
      <c r="CC243" s="312"/>
      <c r="CD243" s="312"/>
      <c r="CE243" s="312"/>
      <c r="CF243" s="312"/>
      <c r="CG243" s="312"/>
      <c r="CH243" s="312"/>
      <c r="CI243" s="312"/>
      <c r="CJ243" s="312"/>
      <c r="CK243" s="312"/>
      <c r="CL243" s="312"/>
      <c r="CM243" s="312"/>
      <c r="CN243" s="312"/>
      <c r="CO243" s="312"/>
      <c r="CP243" s="312"/>
      <c r="CQ243" s="312"/>
      <c r="CR243" s="312"/>
    </row>
    <row r="244" spans="1:96" s="300" customFormat="1" ht="15.75" customHeight="1">
      <c r="A244" s="313"/>
      <c r="B244" s="305" t="s">
        <v>668</v>
      </c>
      <c r="C244" s="311">
        <v>4350</v>
      </c>
      <c r="D244" s="311">
        <v>4544</v>
      </c>
      <c r="E244" s="306">
        <f t="shared" si="43"/>
        <v>4.459770114942529</v>
      </c>
      <c r="F244" s="310">
        <v>12300</v>
      </c>
      <c r="G244" s="311">
        <v>12676</v>
      </c>
      <c r="H244" s="306">
        <f t="shared" si="44"/>
        <v>3.0569105691056913</v>
      </c>
      <c r="I244" s="310">
        <v>5685</v>
      </c>
      <c r="J244" s="311">
        <v>6184.5</v>
      </c>
      <c r="K244" s="306">
        <f t="shared" si="45"/>
        <v>8.786279683377309</v>
      </c>
      <c r="L244" s="310">
        <v>14531</v>
      </c>
      <c r="M244" s="311">
        <v>15262.5</v>
      </c>
      <c r="N244" s="306">
        <f t="shared" si="46"/>
        <v>5.0340651021953065</v>
      </c>
      <c r="O244" s="310"/>
      <c r="P244" s="311"/>
      <c r="Q244" s="306"/>
      <c r="R244" s="310"/>
      <c r="S244" s="311"/>
      <c r="T244" s="306"/>
      <c r="U244" s="310"/>
      <c r="V244" s="311"/>
      <c r="W244" s="306"/>
      <c r="X244" s="310"/>
      <c r="Y244" s="311"/>
      <c r="Z244" s="306"/>
      <c r="AA244" s="310"/>
      <c r="AB244" s="311"/>
      <c r="AC244" s="306"/>
      <c r="AD244" s="310"/>
      <c r="AE244" s="311"/>
      <c r="AF244" s="306"/>
      <c r="AG244" s="310"/>
      <c r="AH244" s="311"/>
      <c r="AI244" s="306"/>
      <c r="AJ244" s="310"/>
      <c r="AK244" s="311"/>
      <c r="AL244" s="306"/>
      <c r="AM244" s="310"/>
      <c r="AN244" s="311"/>
      <c r="AO244" s="306"/>
      <c r="AP244" s="310"/>
      <c r="AQ244" s="311"/>
      <c r="AR244" s="306"/>
      <c r="AS244" s="310"/>
      <c r="AT244" s="311"/>
      <c r="AU244" s="306"/>
      <c r="AV244" s="310"/>
      <c r="AW244" s="311"/>
      <c r="AX244" s="306"/>
      <c r="AY244" s="310"/>
      <c r="AZ244" s="311"/>
      <c r="BA244" s="306"/>
      <c r="BB244" s="310"/>
      <c r="BC244" s="311"/>
      <c r="BD244" s="306"/>
      <c r="BE244" s="312"/>
      <c r="BF244" s="312"/>
      <c r="BG244" s="312"/>
      <c r="BH244" s="312"/>
      <c r="BI244" s="312"/>
      <c r="BJ244" s="312"/>
      <c r="BK244" s="312"/>
      <c r="BL244" s="312"/>
      <c r="BM244" s="312"/>
      <c r="BN244" s="312"/>
      <c r="BO244" s="312"/>
      <c r="BP244" s="312"/>
      <c r="BQ244" s="312"/>
      <c r="BR244" s="312"/>
      <c r="BS244" s="312"/>
      <c r="BT244" s="312"/>
      <c r="BU244" s="312"/>
      <c r="BV244" s="312"/>
      <c r="BW244" s="312"/>
      <c r="BX244" s="312"/>
      <c r="BY244" s="312"/>
      <c r="BZ244" s="312"/>
      <c r="CA244" s="312"/>
      <c r="CB244" s="312"/>
      <c r="CC244" s="312"/>
      <c r="CD244" s="312"/>
      <c r="CE244" s="312"/>
      <c r="CF244" s="312"/>
      <c r="CG244" s="312"/>
      <c r="CH244" s="312"/>
      <c r="CI244" s="312"/>
      <c r="CJ244" s="312"/>
      <c r="CK244" s="312"/>
      <c r="CL244" s="312"/>
      <c r="CM244" s="312"/>
      <c r="CN244" s="312"/>
      <c r="CO244" s="312"/>
      <c r="CP244" s="312"/>
      <c r="CQ244" s="312"/>
      <c r="CR244" s="312"/>
    </row>
    <row r="245" spans="1:96" s="300" customFormat="1" ht="15.75" customHeight="1">
      <c r="A245" s="313"/>
      <c r="B245" s="305" t="s">
        <v>669</v>
      </c>
      <c r="C245" s="311">
        <v>5877</v>
      </c>
      <c r="D245" s="311">
        <v>6441</v>
      </c>
      <c r="E245" s="306">
        <f t="shared" si="43"/>
        <v>9.59673302705462</v>
      </c>
      <c r="F245" s="310">
        <v>11828</v>
      </c>
      <c r="G245" s="311">
        <v>12951</v>
      </c>
      <c r="H245" s="306">
        <f t="shared" si="44"/>
        <v>9.494420020290836</v>
      </c>
      <c r="I245" s="310">
        <v>7583</v>
      </c>
      <c r="J245" s="311">
        <v>8305</v>
      </c>
      <c r="K245" s="306">
        <f t="shared" si="45"/>
        <v>9.52129763945668</v>
      </c>
      <c r="L245" s="310">
        <v>13416</v>
      </c>
      <c r="M245" s="311">
        <v>14691</v>
      </c>
      <c r="N245" s="306">
        <f t="shared" si="46"/>
        <v>9.503577817531305</v>
      </c>
      <c r="O245" s="310"/>
      <c r="P245" s="311"/>
      <c r="Q245" s="306"/>
      <c r="R245" s="310"/>
      <c r="S245" s="311"/>
      <c r="T245" s="306"/>
      <c r="U245" s="310"/>
      <c r="V245" s="311"/>
      <c r="W245" s="306"/>
      <c r="X245" s="310"/>
      <c r="Y245" s="311"/>
      <c r="Z245" s="306"/>
      <c r="AA245" s="310"/>
      <c r="AB245" s="311"/>
      <c r="AC245" s="306"/>
      <c r="AD245" s="310"/>
      <c r="AE245" s="311"/>
      <c r="AF245" s="306"/>
      <c r="AG245" s="310"/>
      <c r="AH245" s="311"/>
      <c r="AI245" s="306"/>
      <c r="AJ245" s="310"/>
      <c r="AK245" s="311"/>
      <c r="AL245" s="306"/>
      <c r="AM245" s="310"/>
      <c r="AN245" s="311"/>
      <c r="AO245" s="306"/>
      <c r="AP245" s="310"/>
      <c r="AQ245" s="311"/>
      <c r="AR245" s="306"/>
      <c r="AS245" s="310"/>
      <c r="AT245" s="311"/>
      <c r="AU245" s="306"/>
      <c r="AV245" s="310"/>
      <c r="AW245" s="311"/>
      <c r="AX245" s="306"/>
      <c r="AY245" s="310"/>
      <c r="AZ245" s="311"/>
      <c r="BA245" s="306"/>
      <c r="BB245" s="310"/>
      <c r="BC245" s="311"/>
      <c r="BD245" s="306"/>
      <c r="BE245" s="312"/>
      <c r="BF245" s="312"/>
      <c r="BG245" s="312"/>
      <c r="BH245" s="312"/>
      <c r="BI245" s="312"/>
      <c r="BJ245" s="312"/>
      <c r="BK245" s="312"/>
      <c r="BL245" s="312"/>
      <c r="BM245" s="312"/>
      <c r="BN245" s="312"/>
      <c r="BO245" s="312"/>
      <c r="BP245" s="312"/>
      <c r="BQ245" s="312"/>
      <c r="BR245" s="312"/>
      <c r="BS245" s="312"/>
      <c r="BT245" s="312"/>
      <c r="BU245" s="312"/>
      <c r="BV245" s="312"/>
      <c r="BW245" s="312"/>
      <c r="BX245" s="312"/>
      <c r="BY245" s="312"/>
      <c r="BZ245" s="312"/>
      <c r="CA245" s="312"/>
      <c r="CB245" s="312"/>
      <c r="CC245" s="312"/>
      <c r="CD245" s="312"/>
      <c r="CE245" s="312"/>
      <c r="CF245" s="312"/>
      <c r="CG245" s="312"/>
      <c r="CH245" s="312"/>
      <c r="CI245" s="312"/>
      <c r="CJ245" s="312"/>
      <c r="CK245" s="312"/>
      <c r="CL245" s="312"/>
      <c r="CM245" s="312"/>
      <c r="CN245" s="312"/>
      <c r="CO245" s="312"/>
      <c r="CP245" s="312"/>
      <c r="CQ245" s="312"/>
      <c r="CR245" s="312"/>
    </row>
    <row r="246" spans="1:96" s="300" customFormat="1" ht="15.75" customHeight="1">
      <c r="A246" s="313"/>
      <c r="B246" s="305" t="s">
        <v>670</v>
      </c>
      <c r="C246" s="311">
        <v>4592</v>
      </c>
      <c r="D246" s="311">
        <v>4954.5</v>
      </c>
      <c r="E246" s="306">
        <f t="shared" si="43"/>
        <v>7.894163763066202</v>
      </c>
      <c r="F246" s="310">
        <v>12857.5</v>
      </c>
      <c r="G246" s="311">
        <v>13867.5</v>
      </c>
      <c r="H246" s="306">
        <f t="shared" si="44"/>
        <v>7.855337351740229</v>
      </c>
      <c r="I246" s="310">
        <v>3816</v>
      </c>
      <c r="J246" s="311">
        <v>4158</v>
      </c>
      <c r="K246" s="306">
        <f t="shared" si="45"/>
        <v>8.962264150943396</v>
      </c>
      <c r="L246" s="310">
        <v>8838</v>
      </c>
      <c r="M246" s="311">
        <v>9612</v>
      </c>
      <c r="N246" s="306">
        <f t="shared" si="46"/>
        <v>8.757637474541752</v>
      </c>
      <c r="O246" s="310"/>
      <c r="P246" s="311"/>
      <c r="Q246" s="306"/>
      <c r="R246" s="310"/>
      <c r="S246" s="311"/>
      <c r="T246" s="306"/>
      <c r="U246" s="310"/>
      <c r="V246" s="311"/>
      <c r="W246" s="306"/>
      <c r="X246" s="310"/>
      <c r="Y246" s="311"/>
      <c r="Z246" s="306"/>
      <c r="AA246" s="310"/>
      <c r="AB246" s="311"/>
      <c r="AC246" s="306"/>
      <c r="AD246" s="310"/>
      <c r="AE246" s="311"/>
      <c r="AF246" s="306"/>
      <c r="AG246" s="310"/>
      <c r="AH246" s="311"/>
      <c r="AI246" s="306"/>
      <c r="AJ246" s="310"/>
      <c r="AK246" s="311"/>
      <c r="AL246" s="306"/>
      <c r="AM246" s="310"/>
      <c r="AN246" s="311"/>
      <c r="AO246" s="306"/>
      <c r="AP246" s="310"/>
      <c r="AQ246" s="311"/>
      <c r="AR246" s="306"/>
      <c r="AS246" s="310"/>
      <c r="AT246" s="311"/>
      <c r="AU246" s="306"/>
      <c r="AV246" s="310"/>
      <c r="AW246" s="311"/>
      <c r="AX246" s="306"/>
      <c r="AY246" s="310"/>
      <c r="AZ246" s="311"/>
      <c r="BA246" s="306"/>
      <c r="BB246" s="310"/>
      <c r="BC246" s="311"/>
      <c r="BD246" s="306"/>
      <c r="BE246" s="312"/>
      <c r="BF246" s="312"/>
      <c r="BG246" s="312"/>
      <c r="BH246" s="312"/>
      <c r="BI246" s="312"/>
      <c r="BJ246" s="312"/>
      <c r="BK246" s="312"/>
      <c r="BL246" s="312"/>
      <c r="BM246" s="312"/>
      <c r="BN246" s="312"/>
      <c r="BO246" s="312"/>
      <c r="BP246" s="312"/>
      <c r="BQ246" s="312"/>
      <c r="BR246" s="312"/>
      <c r="BS246" s="312"/>
      <c r="BT246" s="312"/>
      <c r="BU246" s="312"/>
      <c r="BV246" s="312"/>
      <c r="BW246" s="312"/>
      <c r="BX246" s="312"/>
      <c r="BY246" s="312"/>
      <c r="BZ246" s="312"/>
      <c r="CA246" s="312"/>
      <c r="CB246" s="312"/>
      <c r="CC246" s="312"/>
      <c r="CD246" s="312"/>
      <c r="CE246" s="312"/>
      <c r="CF246" s="312"/>
      <c r="CG246" s="312"/>
      <c r="CH246" s="312"/>
      <c r="CI246" s="312"/>
      <c r="CJ246" s="312"/>
      <c r="CK246" s="312"/>
      <c r="CL246" s="312"/>
      <c r="CM246" s="312"/>
      <c r="CN246" s="312"/>
      <c r="CO246" s="312"/>
      <c r="CP246" s="312"/>
      <c r="CQ246" s="312"/>
      <c r="CR246" s="312"/>
    </row>
    <row r="247" spans="1:96" s="300" customFormat="1" ht="15.75" customHeight="1">
      <c r="A247" s="313"/>
      <c r="B247" s="305" t="s">
        <v>1041</v>
      </c>
      <c r="C247" s="311">
        <v>4898.5</v>
      </c>
      <c r="D247" s="311">
        <v>5291</v>
      </c>
      <c r="E247" s="306">
        <f t="shared" si="43"/>
        <v>8.012656935796672</v>
      </c>
      <c r="F247" s="310">
        <v>13331.5</v>
      </c>
      <c r="G247" s="311">
        <v>14337.5</v>
      </c>
      <c r="H247" s="306">
        <f t="shared" si="44"/>
        <v>7.5460375801672726</v>
      </c>
      <c r="I247" s="310">
        <v>5952</v>
      </c>
      <c r="J247" s="311">
        <v>6533.5</v>
      </c>
      <c r="K247" s="306">
        <f t="shared" si="45"/>
        <v>9.769825268817204</v>
      </c>
      <c r="L247" s="310">
        <v>14580</v>
      </c>
      <c r="M247" s="311">
        <v>15569</v>
      </c>
      <c r="N247" s="306">
        <f t="shared" si="46"/>
        <v>6.783264746227709</v>
      </c>
      <c r="O247" s="310"/>
      <c r="P247" s="311"/>
      <c r="Q247" s="306"/>
      <c r="R247" s="310"/>
      <c r="S247" s="311"/>
      <c r="T247" s="306"/>
      <c r="U247" s="310"/>
      <c r="V247" s="311"/>
      <c r="W247" s="306"/>
      <c r="X247" s="310"/>
      <c r="Y247" s="311"/>
      <c r="Z247" s="306"/>
      <c r="AA247" s="310"/>
      <c r="AB247" s="311"/>
      <c r="AC247" s="306"/>
      <c r="AD247" s="310"/>
      <c r="AE247" s="311"/>
      <c r="AF247" s="306"/>
      <c r="AG247" s="310"/>
      <c r="AH247" s="311"/>
      <c r="AI247" s="306"/>
      <c r="AJ247" s="310"/>
      <c r="AK247" s="311"/>
      <c r="AL247" s="306"/>
      <c r="AM247" s="310"/>
      <c r="AN247" s="311"/>
      <c r="AO247" s="306"/>
      <c r="AP247" s="310"/>
      <c r="AQ247" s="311"/>
      <c r="AR247" s="306"/>
      <c r="AS247" s="310"/>
      <c r="AT247" s="311"/>
      <c r="AU247" s="306"/>
      <c r="AV247" s="310"/>
      <c r="AW247" s="311"/>
      <c r="AX247" s="306"/>
      <c r="AY247" s="310"/>
      <c r="AZ247" s="311"/>
      <c r="BA247" s="306"/>
      <c r="BB247" s="310"/>
      <c r="BC247" s="311"/>
      <c r="BD247" s="306"/>
      <c r="BE247" s="312"/>
      <c r="BF247" s="312"/>
      <c r="BG247" s="312"/>
      <c r="BH247" s="312"/>
      <c r="BI247" s="312"/>
      <c r="BJ247" s="312"/>
      <c r="BK247" s="312"/>
      <c r="BL247" s="312"/>
      <c r="BM247" s="312"/>
      <c r="BN247" s="312"/>
      <c r="BO247" s="312"/>
      <c r="BP247" s="312"/>
      <c r="BQ247" s="312"/>
      <c r="BR247" s="312"/>
      <c r="BS247" s="312"/>
      <c r="BT247" s="312"/>
      <c r="BU247" s="312"/>
      <c r="BV247" s="312"/>
      <c r="BW247" s="312"/>
      <c r="BX247" s="312"/>
      <c r="BY247" s="312"/>
      <c r="BZ247" s="312"/>
      <c r="CA247" s="312"/>
      <c r="CB247" s="312"/>
      <c r="CC247" s="312"/>
      <c r="CD247" s="312"/>
      <c r="CE247" s="312"/>
      <c r="CF247" s="312"/>
      <c r="CG247" s="312"/>
      <c r="CH247" s="312"/>
      <c r="CI247" s="312"/>
      <c r="CJ247" s="312"/>
      <c r="CK247" s="312"/>
      <c r="CL247" s="312"/>
      <c r="CM247" s="312"/>
      <c r="CN247" s="312"/>
      <c r="CO247" s="312"/>
      <c r="CP247" s="312"/>
      <c r="CQ247" s="312"/>
      <c r="CR247" s="312"/>
    </row>
    <row r="248" spans="1:96" s="300" customFormat="1" ht="15.75" customHeight="1">
      <c r="A248" s="313"/>
      <c r="B248" s="305" t="s">
        <v>671</v>
      </c>
      <c r="C248" s="311"/>
      <c r="D248" s="311"/>
      <c r="E248" s="306">
        <f t="shared" si="43"/>
        <v>0</v>
      </c>
      <c r="F248" s="310"/>
      <c r="G248" s="311"/>
      <c r="H248" s="306">
        <f t="shared" si="44"/>
        <v>0</v>
      </c>
      <c r="I248" s="310"/>
      <c r="J248" s="311"/>
      <c r="K248" s="306">
        <f t="shared" si="45"/>
        <v>0</v>
      </c>
      <c r="L248" s="310"/>
      <c r="M248" s="311"/>
      <c r="N248" s="306"/>
      <c r="O248" s="310"/>
      <c r="P248" s="311"/>
      <c r="Q248" s="306"/>
      <c r="R248" s="310"/>
      <c r="S248" s="311"/>
      <c r="T248" s="306"/>
      <c r="U248" s="310"/>
      <c r="V248" s="311"/>
      <c r="W248" s="306"/>
      <c r="X248" s="310"/>
      <c r="Y248" s="311"/>
      <c r="Z248" s="306"/>
      <c r="AA248" s="310"/>
      <c r="AB248" s="311"/>
      <c r="AC248" s="306"/>
      <c r="AD248" s="310"/>
      <c r="AE248" s="311"/>
      <c r="AF248" s="306"/>
      <c r="AG248" s="310"/>
      <c r="AH248" s="311"/>
      <c r="AI248" s="306"/>
      <c r="AJ248" s="310"/>
      <c r="AK248" s="311"/>
      <c r="AL248" s="306"/>
      <c r="AM248" s="310"/>
      <c r="AN248" s="311"/>
      <c r="AO248" s="306"/>
      <c r="AP248" s="310"/>
      <c r="AQ248" s="311"/>
      <c r="AR248" s="306"/>
      <c r="AS248" s="310"/>
      <c r="AT248" s="311"/>
      <c r="AU248" s="306"/>
      <c r="AV248" s="310"/>
      <c r="AW248" s="311"/>
      <c r="AX248" s="306"/>
      <c r="AY248" s="310"/>
      <c r="AZ248" s="311"/>
      <c r="BA248" s="306"/>
      <c r="BB248" s="310"/>
      <c r="BC248" s="311"/>
      <c r="BD248" s="306"/>
      <c r="BE248" s="312"/>
      <c r="BF248" s="312"/>
      <c r="BG248" s="312"/>
      <c r="BH248" s="312"/>
      <c r="BI248" s="312"/>
      <c r="BJ248" s="312"/>
      <c r="BK248" s="312"/>
      <c r="BL248" s="312"/>
      <c r="BM248" s="312"/>
      <c r="BN248" s="312"/>
      <c r="BO248" s="312"/>
      <c r="BP248" s="312"/>
      <c r="BQ248" s="312"/>
      <c r="BR248" s="312"/>
      <c r="BS248" s="312"/>
      <c r="BT248" s="312"/>
      <c r="BU248" s="312"/>
      <c r="BV248" s="312"/>
      <c r="BW248" s="312"/>
      <c r="BX248" s="312"/>
      <c r="BY248" s="312"/>
      <c r="BZ248" s="312"/>
      <c r="CA248" s="312"/>
      <c r="CB248" s="312"/>
      <c r="CC248" s="312"/>
      <c r="CD248" s="312"/>
      <c r="CE248" s="312"/>
      <c r="CF248" s="312"/>
      <c r="CG248" s="312"/>
      <c r="CH248" s="312"/>
      <c r="CI248" s="312"/>
      <c r="CJ248" s="312"/>
      <c r="CK248" s="312"/>
      <c r="CL248" s="312"/>
      <c r="CM248" s="312"/>
      <c r="CN248" s="312"/>
      <c r="CO248" s="312"/>
      <c r="CP248" s="312"/>
      <c r="CQ248" s="312"/>
      <c r="CR248" s="312"/>
    </row>
    <row r="249" spans="1:96" s="300" customFormat="1" ht="15.75" customHeight="1">
      <c r="A249" s="313"/>
      <c r="B249" s="305" t="s">
        <v>672</v>
      </c>
      <c r="C249" s="311">
        <v>1883</v>
      </c>
      <c r="D249" s="311">
        <v>2006</v>
      </c>
      <c r="E249" s="306">
        <f t="shared" si="43"/>
        <v>6.532129580456718</v>
      </c>
      <c r="F249" s="310">
        <v>6306</v>
      </c>
      <c r="G249" s="311">
        <v>6429</v>
      </c>
      <c r="H249" s="306">
        <f t="shared" si="44"/>
        <v>1.9505233111322549</v>
      </c>
      <c r="I249" s="310"/>
      <c r="J249" s="311"/>
      <c r="K249" s="306">
        <f t="shared" si="45"/>
        <v>0</v>
      </c>
      <c r="L249" s="310"/>
      <c r="M249" s="311"/>
      <c r="N249" s="306"/>
      <c r="O249" s="310"/>
      <c r="P249" s="311"/>
      <c r="Q249" s="306"/>
      <c r="R249" s="310"/>
      <c r="S249" s="311"/>
      <c r="T249" s="306"/>
      <c r="U249" s="310"/>
      <c r="V249" s="311"/>
      <c r="W249" s="306"/>
      <c r="X249" s="310"/>
      <c r="Y249" s="311"/>
      <c r="Z249" s="306"/>
      <c r="AA249" s="310"/>
      <c r="AB249" s="311"/>
      <c r="AC249" s="306"/>
      <c r="AD249" s="310"/>
      <c r="AE249" s="311"/>
      <c r="AF249" s="306"/>
      <c r="AG249" s="310"/>
      <c r="AH249" s="311"/>
      <c r="AI249" s="306"/>
      <c r="AJ249" s="310"/>
      <c r="AK249" s="311"/>
      <c r="AL249" s="306"/>
      <c r="AM249" s="310"/>
      <c r="AN249" s="311"/>
      <c r="AO249" s="306"/>
      <c r="AP249" s="310"/>
      <c r="AQ249" s="311"/>
      <c r="AR249" s="306"/>
      <c r="AS249" s="310"/>
      <c r="AT249" s="311"/>
      <c r="AU249" s="306"/>
      <c r="AV249" s="310"/>
      <c r="AW249" s="311"/>
      <c r="AX249" s="306"/>
      <c r="AY249" s="310"/>
      <c r="AZ249" s="311"/>
      <c r="BA249" s="306"/>
      <c r="BB249" s="310"/>
      <c r="BC249" s="311"/>
      <c r="BD249" s="306"/>
      <c r="BE249" s="312"/>
      <c r="BF249" s="312"/>
      <c r="BG249" s="312"/>
      <c r="BH249" s="312"/>
      <c r="BI249" s="312"/>
      <c r="BJ249" s="312"/>
      <c r="BK249" s="312"/>
      <c r="BL249" s="312"/>
      <c r="BM249" s="312"/>
      <c r="BN249" s="312"/>
      <c r="BO249" s="312"/>
      <c r="BP249" s="312"/>
      <c r="BQ249" s="312"/>
      <c r="BR249" s="312"/>
      <c r="BS249" s="312"/>
      <c r="BT249" s="312"/>
      <c r="BU249" s="312"/>
      <c r="BV249" s="312"/>
      <c r="BW249" s="312"/>
      <c r="BX249" s="312"/>
      <c r="BY249" s="312"/>
      <c r="BZ249" s="312"/>
      <c r="CA249" s="312"/>
      <c r="CB249" s="312"/>
      <c r="CC249" s="312"/>
      <c r="CD249" s="312"/>
      <c r="CE249" s="312"/>
      <c r="CF249" s="312"/>
      <c r="CG249" s="312"/>
      <c r="CH249" s="312"/>
      <c r="CI249" s="312"/>
      <c r="CJ249" s="312"/>
      <c r="CK249" s="312"/>
      <c r="CL249" s="312"/>
      <c r="CM249" s="312"/>
      <c r="CN249" s="312"/>
      <c r="CO249" s="312"/>
      <c r="CP249" s="312"/>
      <c r="CQ249" s="312"/>
      <c r="CR249" s="312"/>
    </row>
    <row r="250" spans="1:96" s="300" customFormat="1" ht="15.75" customHeight="1">
      <c r="A250" s="313"/>
      <c r="B250" s="305" t="s">
        <v>673</v>
      </c>
      <c r="C250" s="311">
        <v>1883</v>
      </c>
      <c r="D250" s="311">
        <v>2006</v>
      </c>
      <c r="E250" s="306">
        <f t="shared" si="43"/>
        <v>6.532129580456718</v>
      </c>
      <c r="F250" s="310">
        <v>6306</v>
      </c>
      <c r="G250" s="311">
        <v>6429</v>
      </c>
      <c r="H250" s="306">
        <f t="shared" si="44"/>
        <v>1.9505233111322549</v>
      </c>
      <c r="I250" s="310"/>
      <c r="J250" s="311"/>
      <c r="K250" s="306">
        <f t="shared" si="45"/>
        <v>0</v>
      </c>
      <c r="L250" s="310"/>
      <c r="M250" s="311"/>
      <c r="N250" s="306"/>
      <c r="O250" s="310"/>
      <c r="P250" s="311"/>
      <c r="Q250" s="306"/>
      <c r="R250" s="310"/>
      <c r="S250" s="311"/>
      <c r="T250" s="306"/>
      <c r="U250" s="310"/>
      <c r="V250" s="311"/>
      <c r="W250" s="306"/>
      <c r="X250" s="310"/>
      <c r="Y250" s="311"/>
      <c r="Z250" s="306"/>
      <c r="AA250" s="310"/>
      <c r="AB250" s="311"/>
      <c r="AC250" s="306"/>
      <c r="AD250" s="310"/>
      <c r="AE250" s="311"/>
      <c r="AF250" s="306"/>
      <c r="AG250" s="310"/>
      <c r="AH250" s="311"/>
      <c r="AI250" s="306"/>
      <c r="AJ250" s="310"/>
      <c r="AK250" s="311"/>
      <c r="AL250" s="306"/>
      <c r="AM250" s="310"/>
      <c r="AN250" s="311"/>
      <c r="AO250" s="306"/>
      <c r="AP250" s="310"/>
      <c r="AQ250" s="311"/>
      <c r="AR250" s="306"/>
      <c r="AS250" s="310"/>
      <c r="AT250" s="311"/>
      <c r="AU250" s="306"/>
      <c r="AV250" s="310"/>
      <c r="AW250" s="311"/>
      <c r="AX250" s="306"/>
      <c r="AY250" s="310"/>
      <c r="AZ250" s="311"/>
      <c r="BA250" s="306"/>
      <c r="BB250" s="310"/>
      <c r="BC250" s="311"/>
      <c r="BD250" s="306"/>
      <c r="BE250" s="312"/>
      <c r="BF250" s="312"/>
      <c r="BG250" s="312"/>
      <c r="BH250" s="312"/>
      <c r="BI250" s="312"/>
      <c r="BJ250" s="312"/>
      <c r="BK250" s="312"/>
      <c r="BL250" s="312"/>
      <c r="BM250" s="312"/>
      <c r="BN250" s="312"/>
      <c r="BO250" s="312"/>
      <c r="BP250" s="312"/>
      <c r="BQ250" s="312"/>
      <c r="BR250" s="312"/>
      <c r="BS250" s="312"/>
      <c r="BT250" s="312"/>
      <c r="BU250" s="312"/>
      <c r="BV250" s="312"/>
      <c r="BW250" s="312"/>
      <c r="BX250" s="312"/>
      <c r="BY250" s="312"/>
      <c r="BZ250" s="312"/>
      <c r="CA250" s="312"/>
      <c r="CB250" s="312"/>
      <c r="CC250" s="312"/>
      <c r="CD250" s="312"/>
      <c r="CE250" s="312"/>
      <c r="CF250" s="312"/>
      <c r="CG250" s="312"/>
      <c r="CH250" s="312"/>
      <c r="CI250" s="312"/>
      <c r="CJ250" s="312"/>
      <c r="CK250" s="312"/>
      <c r="CL250" s="312"/>
      <c r="CM250" s="312"/>
      <c r="CN250" s="312"/>
      <c r="CO250" s="312"/>
      <c r="CP250" s="312"/>
      <c r="CQ250" s="312"/>
      <c r="CR250" s="312"/>
    </row>
    <row r="251" spans="1:96" s="300" customFormat="1" ht="15.75" customHeight="1">
      <c r="A251" s="313"/>
      <c r="B251" s="305" t="s">
        <v>76</v>
      </c>
      <c r="C251" s="311">
        <v>1883</v>
      </c>
      <c r="D251" s="311">
        <v>2006</v>
      </c>
      <c r="E251" s="306">
        <f t="shared" si="43"/>
        <v>6.532129580456718</v>
      </c>
      <c r="F251" s="310">
        <v>6306</v>
      </c>
      <c r="G251" s="311">
        <v>6429</v>
      </c>
      <c r="H251" s="306">
        <f t="shared" si="44"/>
        <v>1.9505233111322549</v>
      </c>
      <c r="I251" s="310"/>
      <c r="J251" s="311"/>
      <c r="K251" s="306">
        <f t="shared" si="45"/>
        <v>0</v>
      </c>
      <c r="L251" s="310"/>
      <c r="M251" s="311"/>
      <c r="N251" s="306"/>
      <c r="O251" s="310"/>
      <c r="P251" s="311"/>
      <c r="Q251" s="306"/>
      <c r="R251" s="310"/>
      <c r="S251" s="311"/>
      <c r="T251" s="306"/>
      <c r="U251" s="310"/>
      <c r="V251" s="311"/>
      <c r="W251" s="306"/>
      <c r="X251" s="310"/>
      <c r="Y251" s="311"/>
      <c r="Z251" s="306"/>
      <c r="AA251" s="310"/>
      <c r="AB251" s="311"/>
      <c r="AC251" s="306"/>
      <c r="AD251" s="310"/>
      <c r="AE251" s="311"/>
      <c r="AF251" s="306"/>
      <c r="AG251" s="310"/>
      <c r="AH251" s="311"/>
      <c r="AI251" s="306"/>
      <c r="AJ251" s="310"/>
      <c r="AK251" s="311"/>
      <c r="AL251" s="306"/>
      <c r="AM251" s="310"/>
      <c r="AN251" s="311"/>
      <c r="AO251" s="306"/>
      <c r="AP251" s="310"/>
      <c r="AQ251" s="311"/>
      <c r="AR251" s="306"/>
      <c r="AS251" s="310"/>
      <c r="AT251" s="311"/>
      <c r="AU251" s="306"/>
      <c r="AV251" s="310"/>
      <c r="AW251" s="311"/>
      <c r="AX251" s="306"/>
      <c r="AY251" s="310"/>
      <c r="AZ251" s="311"/>
      <c r="BA251" s="306"/>
      <c r="BB251" s="310"/>
      <c r="BC251" s="311"/>
      <c r="BD251" s="306"/>
      <c r="BE251" s="312"/>
      <c r="BF251" s="312"/>
      <c r="BG251" s="312"/>
      <c r="BH251" s="312"/>
      <c r="BI251" s="312"/>
      <c r="BJ251" s="312"/>
      <c r="BK251" s="312"/>
      <c r="BL251" s="312"/>
      <c r="BM251" s="312"/>
      <c r="BN251" s="312"/>
      <c r="BO251" s="312"/>
      <c r="BP251" s="312"/>
      <c r="BQ251" s="312"/>
      <c r="BR251" s="312"/>
      <c r="BS251" s="312"/>
      <c r="BT251" s="312"/>
      <c r="BU251" s="312"/>
      <c r="BV251" s="312"/>
      <c r="BW251" s="312"/>
      <c r="BX251" s="312"/>
      <c r="BY251" s="312"/>
      <c r="BZ251" s="312"/>
      <c r="CA251" s="312"/>
      <c r="CB251" s="312"/>
      <c r="CC251" s="312"/>
      <c r="CD251" s="312"/>
      <c r="CE251" s="312"/>
      <c r="CF251" s="312"/>
      <c r="CG251" s="312"/>
      <c r="CH251" s="312"/>
      <c r="CI251" s="312"/>
      <c r="CJ251" s="312"/>
      <c r="CK251" s="312"/>
      <c r="CL251" s="312"/>
      <c r="CM251" s="312"/>
      <c r="CN251" s="312"/>
      <c r="CO251" s="312"/>
      <c r="CP251" s="312"/>
      <c r="CQ251" s="312"/>
      <c r="CR251" s="312"/>
    </row>
    <row r="252" spans="1:96" s="300" customFormat="1" ht="15.75" customHeight="1">
      <c r="A252" s="313"/>
      <c r="B252" s="305" t="s">
        <v>473</v>
      </c>
      <c r="C252" s="311">
        <v>1883</v>
      </c>
      <c r="D252" s="311">
        <v>2006</v>
      </c>
      <c r="E252" s="306">
        <f t="shared" si="43"/>
        <v>6.532129580456718</v>
      </c>
      <c r="F252" s="310">
        <v>6306</v>
      </c>
      <c r="G252" s="311">
        <v>6429</v>
      </c>
      <c r="H252" s="306">
        <f t="shared" si="44"/>
        <v>1.9505233111322549</v>
      </c>
      <c r="I252" s="310"/>
      <c r="J252" s="311"/>
      <c r="K252" s="306">
        <f t="shared" si="45"/>
        <v>0</v>
      </c>
      <c r="L252" s="310"/>
      <c r="M252" s="311"/>
      <c r="N252" s="306"/>
      <c r="O252" s="310"/>
      <c r="P252" s="311"/>
      <c r="Q252" s="306"/>
      <c r="R252" s="310"/>
      <c r="S252" s="311"/>
      <c r="T252" s="306"/>
      <c r="U252" s="310"/>
      <c r="V252" s="311"/>
      <c r="W252" s="306"/>
      <c r="X252" s="310"/>
      <c r="Y252" s="311"/>
      <c r="Z252" s="306"/>
      <c r="AA252" s="310"/>
      <c r="AB252" s="311"/>
      <c r="AC252" s="306"/>
      <c r="AD252" s="310"/>
      <c r="AE252" s="311"/>
      <c r="AF252" s="306"/>
      <c r="AG252" s="310"/>
      <c r="AH252" s="311"/>
      <c r="AI252" s="306"/>
      <c r="AJ252" s="310"/>
      <c r="AK252" s="311"/>
      <c r="AL252" s="306"/>
      <c r="AM252" s="310"/>
      <c r="AN252" s="311"/>
      <c r="AO252" s="306"/>
      <c r="AP252" s="310"/>
      <c r="AQ252" s="311"/>
      <c r="AR252" s="306"/>
      <c r="AS252" s="310"/>
      <c r="AT252" s="311"/>
      <c r="AU252" s="306"/>
      <c r="AV252" s="310"/>
      <c r="AW252" s="311"/>
      <c r="AX252" s="306"/>
      <c r="AY252" s="310"/>
      <c r="AZ252" s="311"/>
      <c r="BA252" s="306"/>
      <c r="BB252" s="310"/>
      <c r="BC252" s="311"/>
      <c r="BD252" s="306"/>
      <c r="BE252" s="312"/>
      <c r="BF252" s="312"/>
      <c r="BG252" s="312"/>
      <c r="BH252" s="312"/>
      <c r="BI252" s="312"/>
      <c r="BJ252" s="312"/>
      <c r="BK252" s="312"/>
      <c r="BL252" s="312"/>
      <c r="BM252" s="312"/>
      <c r="BN252" s="312"/>
      <c r="BO252" s="312"/>
      <c r="BP252" s="312"/>
      <c r="BQ252" s="312"/>
      <c r="BR252" s="312"/>
      <c r="BS252" s="312"/>
      <c r="BT252" s="312"/>
      <c r="BU252" s="312"/>
      <c r="BV252" s="312"/>
      <c r="BW252" s="312"/>
      <c r="BX252" s="312"/>
      <c r="BY252" s="312"/>
      <c r="BZ252" s="312"/>
      <c r="CA252" s="312"/>
      <c r="CB252" s="312"/>
      <c r="CC252" s="312"/>
      <c r="CD252" s="312"/>
      <c r="CE252" s="312"/>
      <c r="CF252" s="312"/>
      <c r="CG252" s="312"/>
      <c r="CH252" s="312"/>
      <c r="CI252" s="312"/>
      <c r="CJ252" s="312"/>
      <c r="CK252" s="312"/>
      <c r="CL252" s="312"/>
      <c r="CM252" s="312"/>
      <c r="CN252" s="312"/>
      <c r="CO252" s="312"/>
      <c r="CP252" s="312"/>
      <c r="CQ252" s="312"/>
      <c r="CR252" s="312"/>
    </row>
    <row r="253" spans="1:96" s="300" customFormat="1" ht="15.75" customHeight="1">
      <c r="A253" s="313"/>
      <c r="B253" s="305" t="s">
        <v>77</v>
      </c>
      <c r="C253" s="311"/>
      <c r="D253" s="311"/>
      <c r="E253" s="306">
        <f aca="true" t="shared" si="47" ref="E253:E269">IF(C253&gt;0,(((D253-C253)/C253)*100),0)</f>
        <v>0</v>
      </c>
      <c r="F253" s="310"/>
      <c r="G253" s="311"/>
      <c r="H253" s="306">
        <f aca="true" t="shared" si="48" ref="H253:H269">IF(F253&gt;0,(((G253-F253)/F253)*100),0)</f>
        <v>0</v>
      </c>
      <c r="I253" s="310"/>
      <c r="J253" s="311"/>
      <c r="K253" s="306">
        <f t="shared" si="45"/>
        <v>0</v>
      </c>
      <c r="L253" s="310"/>
      <c r="M253" s="311"/>
      <c r="N253" s="306"/>
      <c r="O253" s="310"/>
      <c r="P253" s="311"/>
      <c r="Q253" s="306"/>
      <c r="R253" s="310"/>
      <c r="S253" s="311"/>
      <c r="T253" s="306"/>
      <c r="U253" s="310"/>
      <c r="V253" s="311"/>
      <c r="W253" s="306"/>
      <c r="X253" s="310"/>
      <c r="Y253" s="311"/>
      <c r="Z253" s="306"/>
      <c r="AA253" s="310"/>
      <c r="AB253" s="311"/>
      <c r="AC253" s="306"/>
      <c r="AD253" s="310"/>
      <c r="AE253" s="311"/>
      <c r="AF253" s="306"/>
      <c r="AG253" s="310"/>
      <c r="AH253" s="311"/>
      <c r="AI253" s="306"/>
      <c r="AJ253" s="310"/>
      <c r="AK253" s="311"/>
      <c r="AL253" s="306"/>
      <c r="AM253" s="310"/>
      <c r="AN253" s="311"/>
      <c r="AO253" s="306"/>
      <c r="AP253" s="310"/>
      <c r="AQ253" s="311"/>
      <c r="AR253" s="306"/>
      <c r="AS253" s="310"/>
      <c r="AT253" s="311"/>
      <c r="AU253" s="306"/>
      <c r="AV253" s="310"/>
      <c r="AW253" s="311"/>
      <c r="AX253" s="306"/>
      <c r="AY253" s="310"/>
      <c r="AZ253" s="311"/>
      <c r="BA253" s="306"/>
      <c r="BB253" s="310"/>
      <c r="BC253" s="311"/>
      <c r="BD253" s="306"/>
      <c r="BE253" s="312"/>
      <c r="BF253" s="312"/>
      <c r="BG253" s="312"/>
      <c r="BH253" s="312"/>
      <c r="BI253" s="312"/>
      <c r="BJ253" s="312"/>
      <c r="BK253" s="312"/>
      <c r="BL253" s="312"/>
      <c r="BM253" s="312"/>
      <c r="BN253" s="312"/>
      <c r="BO253" s="312"/>
      <c r="BP253" s="312"/>
      <c r="BQ253" s="312"/>
      <c r="BR253" s="312"/>
      <c r="BS253" s="312"/>
      <c r="BT253" s="312"/>
      <c r="BU253" s="312"/>
      <c r="BV253" s="312"/>
      <c r="BW253" s="312"/>
      <c r="BX253" s="312"/>
      <c r="BY253" s="312"/>
      <c r="BZ253" s="312"/>
      <c r="CA253" s="312"/>
      <c r="CB253" s="312"/>
      <c r="CC253" s="312"/>
      <c r="CD253" s="312"/>
      <c r="CE253" s="312"/>
      <c r="CF253" s="312"/>
      <c r="CG253" s="312"/>
      <c r="CH253" s="312"/>
      <c r="CI253" s="312"/>
      <c r="CJ253" s="312"/>
      <c r="CK253" s="312"/>
      <c r="CL253" s="312"/>
      <c r="CM253" s="312"/>
      <c r="CN253" s="312"/>
      <c r="CO253" s="312"/>
      <c r="CP253" s="312"/>
      <c r="CQ253" s="312"/>
      <c r="CR253" s="312"/>
    </row>
    <row r="254" spans="1:96" s="300" customFormat="1" ht="15.75" customHeight="1">
      <c r="A254" s="313"/>
      <c r="B254" s="305" t="s">
        <v>63</v>
      </c>
      <c r="C254" s="311"/>
      <c r="D254" s="311"/>
      <c r="E254" s="306">
        <f t="shared" si="47"/>
        <v>0</v>
      </c>
      <c r="F254" s="310"/>
      <c r="G254" s="311"/>
      <c r="H254" s="306">
        <f t="shared" si="48"/>
        <v>0</v>
      </c>
      <c r="I254" s="310"/>
      <c r="J254" s="311"/>
      <c r="K254" s="306">
        <f t="shared" si="45"/>
        <v>0</v>
      </c>
      <c r="L254" s="310"/>
      <c r="M254" s="311"/>
      <c r="N254" s="306"/>
      <c r="O254" s="310"/>
      <c r="P254" s="311"/>
      <c r="Q254" s="306"/>
      <c r="R254" s="310"/>
      <c r="S254" s="311"/>
      <c r="T254" s="306"/>
      <c r="U254" s="310"/>
      <c r="V254" s="311"/>
      <c r="W254" s="306"/>
      <c r="X254" s="310"/>
      <c r="Y254" s="311"/>
      <c r="Z254" s="306"/>
      <c r="AA254" s="310"/>
      <c r="AB254" s="311"/>
      <c r="AC254" s="306"/>
      <c r="AD254" s="310"/>
      <c r="AE254" s="311"/>
      <c r="AF254" s="306"/>
      <c r="AG254" s="310"/>
      <c r="AH254" s="311"/>
      <c r="AI254" s="306"/>
      <c r="AJ254" s="310"/>
      <c r="AK254" s="311"/>
      <c r="AL254" s="306"/>
      <c r="AM254" s="310"/>
      <c r="AN254" s="311"/>
      <c r="AO254" s="306"/>
      <c r="AP254" s="310"/>
      <c r="AQ254" s="311"/>
      <c r="AR254" s="306"/>
      <c r="AS254" s="310"/>
      <c r="AT254" s="311"/>
      <c r="AU254" s="306"/>
      <c r="AV254" s="310"/>
      <c r="AW254" s="311"/>
      <c r="AX254" s="306"/>
      <c r="AY254" s="310"/>
      <c r="AZ254" s="311"/>
      <c r="BA254" s="306"/>
      <c r="BB254" s="310"/>
      <c r="BC254" s="311"/>
      <c r="BD254" s="306"/>
      <c r="BE254" s="312"/>
      <c r="BF254" s="312"/>
      <c r="BG254" s="312"/>
      <c r="BH254" s="312"/>
      <c r="BI254" s="312"/>
      <c r="BJ254" s="312"/>
      <c r="BK254" s="312"/>
      <c r="BL254" s="312"/>
      <c r="BM254" s="312"/>
      <c r="BN254" s="312"/>
      <c r="BO254" s="312"/>
      <c r="BP254" s="312"/>
      <c r="BQ254" s="312"/>
      <c r="BR254" s="312"/>
      <c r="BS254" s="312"/>
      <c r="BT254" s="312"/>
      <c r="BU254" s="312"/>
      <c r="BV254" s="312"/>
      <c r="BW254" s="312"/>
      <c r="BX254" s="312"/>
      <c r="BY254" s="312"/>
      <c r="BZ254" s="312"/>
      <c r="CA254" s="312"/>
      <c r="CB254" s="312"/>
      <c r="CC254" s="312"/>
      <c r="CD254" s="312"/>
      <c r="CE254" s="312"/>
      <c r="CF254" s="312"/>
      <c r="CG254" s="312"/>
      <c r="CH254" s="312"/>
      <c r="CI254" s="312"/>
      <c r="CJ254" s="312"/>
      <c r="CK254" s="312"/>
      <c r="CL254" s="312"/>
      <c r="CM254" s="312"/>
      <c r="CN254" s="312"/>
      <c r="CO254" s="312"/>
      <c r="CP254" s="312"/>
      <c r="CQ254" s="312"/>
      <c r="CR254" s="312"/>
    </row>
    <row r="255" spans="1:96" s="300" customFormat="1" ht="15.75" customHeight="1">
      <c r="A255" s="313"/>
      <c r="B255" s="305" t="s">
        <v>64</v>
      </c>
      <c r="C255" s="311"/>
      <c r="D255" s="311"/>
      <c r="E255" s="306">
        <f t="shared" si="47"/>
        <v>0</v>
      </c>
      <c r="F255" s="310"/>
      <c r="G255" s="311"/>
      <c r="H255" s="306">
        <f t="shared" si="48"/>
        <v>0</v>
      </c>
      <c r="I255" s="310"/>
      <c r="J255" s="311"/>
      <c r="K255" s="306">
        <f t="shared" si="45"/>
        <v>0</v>
      </c>
      <c r="L255" s="310"/>
      <c r="M255" s="311"/>
      <c r="N255" s="306"/>
      <c r="O255" s="310"/>
      <c r="P255" s="311"/>
      <c r="Q255" s="306"/>
      <c r="R255" s="310"/>
      <c r="S255" s="311"/>
      <c r="T255" s="306"/>
      <c r="U255" s="310"/>
      <c r="V255" s="311"/>
      <c r="W255" s="306"/>
      <c r="X255" s="310"/>
      <c r="Y255" s="311"/>
      <c r="Z255" s="306"/>
      <c r="AA255" s="310"/>
      <c r="AB255" s="311"/>
      <c r="AC255" s="306"/>
      <c r="AD255" s="310"/>
      <c r="AE255" s="311"/>
      <c r="AF255" s="306"/>
      <c r="AG255" s="310"/>
      <c r="AH255" s="311"/>
      <c r="AI255" s="306"/>
      <c r="AJ255" s="310"/>
      <c r="AK255" s="311"/>
      <c r="AL255" s="306"/>
      <c r="AM255" s="310"/>
      <c r="AN255" s="311"/>
      <c r="AO255" s="306"/>
      <c r="AP255" s="310"/>
      <c r="AQ255" s="311"/>
      <c r="AR255" s="306"/>
      <c r="AS255" s="310"/>
      <c r="AT255" s="311"/>
      <c r="AU255" s="306"/>
      <c r="AV255" s="310"/>
      <c r="AW255" s="311"/>
      <c r="AX255" s="306"/>
      <c r="AY255" s="310"/>
      <c r="AZ255" s="311"/>
      <c r="BA255" s="306"/>
      <c r="BB255" s="310"/>
      <c r="BC255" s="311"/>
      <c r="BD255" s="306"/>
      <c r="BE255" s="312"/>
      <c r="BF255" s="312"/>
      <c r="BG255" s="312"/>
      <c r="BH255" s="312"/>
      <c r="BI255" s="312"/>
      <c r="BJ255" s="312"/>
      <c r="BK255" s="312"/>
      <c r="BL255" s="312"/>
      <c r="BM255" s="312"/>
      <c r="BN255" s="312"/>
      <c r="BO255" s="312"/>
      <c r="BP255" s="312"/>
      <c r="BQ255" s="312"/>
      <c r="BR255" s="312"/>
      <c r="BS255" s="312"/>
      <c r="BT255" s="312"/>
      <c r="BU255" s="312"/>
      <c r="BV255" s="312"/>
      <c r="BW255" s="312"/>
      <c r="BX255" s="312"/>
      <c r="BY255" s="312"/>
      <c r="BZ255" s="312"/>
      <c r="CA255" s="312"/>
      <c r="CB255" s="312"/>
      <c r="CC255" s="312"/>
      <c r="CD255" s="312"/>
      <c r="CE255" s="312"/>
      <c r="CF255" s="312"/>
      <c r="CG255" s="312"/>
      <c r="CH255" s="312"/>
      <c r="CI255" s="312"/>
      <c r="CJ255" s="312"/>
      <c r="CK255" s="312"/>
      <c r="CL255" s="312"/>
      <c r="CM255" s="312"/>
      <c r="CN255" s="312"/>
      <c r="CO255" s="312"/>
      <c r="CP255" s="312"/>
      <c r="CQ255" s="312"/>
      <c r="CR255" s="312"/>
    </row>
    <row r="256" spans="1:96" s="300" customFormat="1" ht="15.75" customHeight="1" thickBot="1">
      <c r="A256" s="313"/>
      <c r="B256" s="305" t="s">
        <v>970</v>
      </c>
      <c r="C256" s="311"/>
      <c r="D256" s="311"/>
      <c r="E256" s="306">
        <f t="shared" si="47"/>
        <v>0</v>
      </c>
      <c r="F256" s="310"/>
      <c r="G256" s="311"/>
      <c r="H256" s="306">
        <f t="shared" si="48"/>
        <v>0</v>
      </c>
      <c r="I256" s="310"/>
      <c r="J256" s="311"/>
      <c r="K256" s="306">
        <f t="shared" si="45"/>
        <v>0</v>
      </c>
      <c r="L256" s="310"/>
      <c r="M256" s="311"/>
      <c r="N256" s="306"/>
      <c r="O256" s="310"/>
      <c r="P256" s="311"/>
      <c r="Q256" s="306"/>
      <c r="R256" s="310"/>
      <c r="S256" s="311"/>
      <c r="T256" s="306"/>
      <c r="U256" s="310"/>
      <c r="V256" s="311"/>
      <c r="W256" s="306"/>
      <c r="X256" s="310"/>
      <c r="Y256" s="311"/>
      <c r="Z256" s="306"/>
      <c r="AA256" s="310"/>
      <c r="AB256" s="311"/>
      <c r="AC256" s="306"/>
      <c r="AD256" s="310"/>
      <c r="AE256" s="311"/>
      <c r="AF256" s="306"/>
      <c r="AG256" s="310"/>
      <c r="AH256" s="311"/>
      <c r="AI256" s="306"/>
      <c r="AJ256" s="310"/>
      <c r="AK256" s="311"/>
      <c r="AL256" s="306"/>
      <c r="AM256" s="310"/>
      <c r="AN256" s="311"/>
      <c r="AO256" s="306"/>
      <c r="AP256" s="310"/>
      <c r="AQ256" s="311"/>
      <c r="AR256" s="306"/>
      <c r="AS256" s="310"/>
      <c r="AT256" s="311"/>
      <c r="AU256" s="306"/>
      <c r="AV256" s="310"/>
      <c r="AW256" s="311"/>
      <c r="AX256" s="306"/>
      <c r="AY256" s="310"/>
      <c r="AZ256" s="311"/>
      <c r="BA256" s="306"/>
      <c r="BB256" s="310"/>
      <c r="BC256" s="311"/>
      <c r="BD256" s="306"/>
      <c r="BE256" s="312"/>
      <c r="BF256" s="312"/>
      <c r="BG256" s="312"/>
      <c r="BH256" s="312"/>
      <c r="BI256" s="312"/>
      <c r="BJ256" s="312"/>
      <c r="BK256" s="312"/>
      <c r="BL256" s="312"/>
      <c r="BM256" s="312"/>
      <c r="BN256" s="312"/>
      <c r="BO256" s="312"/>
      <c r="BP256" s="312"/>
      <c r="BQ256" s="312"/>
      <c r="BR256" s="312"/>
      <c r="BS256" s="312"/>
      <c r="BT256" s="312"/>
      <c r="BU256" s="312"/>
      <c r="BV256" s="312"/>
      <c r="BW256" s="312"/>
      <c r="BX256" s="312"/>
      <c r="BY256" s="312"/>
      <c r="BZ256" s="312"/>
      <c r="CA256" s="312"/>
      <c r="CB256" s="312"/>
      <c r="CC256" s="312"/>
      <c r="CD256" s="312"/>
      <c r="CE256" s="312"/>
      <c r="CF256" s="312"/>
      <c r="CG256" s="312"/>
      <c r="CH256" s="312"/>
      <c r="CI256" s="312"/>
      <c r="CJ256" s="312"/>
      <c r="CK256" s="312"/>
      <c r="CL256" s="312"/>
      <c r="CM256" s="312"/>
      <c r="CN256" s="312"/>
      <c r="CO256" s="312"/>
      <c r="CP256" s="312"/>
      <c r="CQ256" s="312"/>
      <c r="CR256" s="312"/>
    </row>
    <row r="257" spans="1:96" s="321" customFormat="1" ht="15.75" customHeight="1">
      <c r="A257" s="314"/>
      <c r="B257" s="315"/>
      <c r="C257" s="317"/>
      <c r="D257" s="317"/>
      <c r="E257" s="318">
        <f t="shared" si="47"/>
        <v>0</v>
      </c>
      <c r="F257" s="316"/>
      <c r="G257" s="317"/>
      <c r="H257" s="318">
        <f t="shared" si="48"/>
        <v>0</v>
      </c>
      <c r="I257" s="316"/>
      <c r="J257" s="317"/>
      <c r="K257" s="318">
        <f t="shared" si="45"/>
        <v>0</v>
      </c>
      <c r="L257" s="316"/>
      <c r="M257" s="317"/>
      <c r="N257" s="319"/>
      <c r="O257" s="316">
        <v>13159</v>
      </c>
      <c r="P257" s="317">
        <v>14160</v>
      </c>
      <c r="Q257" s="318">
        <f>IF(O257&gt;0,(((P257-O257)/O257)*100),0)</f>
        <v>7.606961015274718</v>
      </c>
      <c r="R257" s="316">
        <v>23399</v>
      </c>
      <c r="S257" s="317">
        <v>24400</v>
      </c>
      <c r="T257" s="318">
        <f>IF(R257&gt;0,(((S257-R257)/R257)*100),0)</f>
        <v>4.277960596606692</v>
      </c>
      <c r="U257" s="336">
        <v>21254.5</v>
      </c>
      <c r="V257" s="337">
        <v>23999</v>
      </c>
      <c r="W257" s="338">
        <f>IF(U257&gt;0,(((V257-U257)/U257)*100),0)</f>
        <v>12.912559693241432</v>
      </c>
      <c r="X257" s="316">
        <v>35213.5</v>
      </c>
      <c r="Y257" s="317">
        <v>36973.5</v>
      </c>
      <c r="Z257" s="319">
        <f>IF(X257&gt;0,(((Y257-X257)/X257)*100),0)</f>
        <v>4.998083121530095</v>
      </c>
      <c r="AA257" s="336">
        <v>20816</v>
      </c>
      <c r="AB257" s="337">
        <v>19487</v>
      </c>
      <c r="AC257" s="338">
        <f>IF(AA257&gt;0,(((AB257-AA257)/AA257)*100),0)</f>
        <v>-6.384511913912375</v>
      </c>
      <c r="AD257" s="336">
        <v>37628</v>
      </c>
      <c r="AE257" s="337">
        <v>35679</v>
      </c>
      <c r="AF257" s="338">
        <f>IF(AD257&gt;0,(((AE257-AD257)/AD257)*100),0)</f>
        <v>-5.179653449558839</v>
      </c>
      <c r="AG257" s="317">
        <v>15851</v>
      </c>
      <c r="AH257" s="317">
        <v>16611</v>
      </c>
      <c r="AI257" s="318">
        <f>IF(AG257&gt;0,(((AH257-AG257)/AG257)*100),0)</f>
        <v>4.794650179799382</v>
      </c>
      <c r="AJ257" s="316">
        <v>24161</v>
      </c>
      <c r="AK257" s="317">
        <v>24212</v>
      </c>
      <c r="AL257" s="318">
        <f>IF(AJ257&gt;0,(((AK257-AJ257)/AJ257)*100),0)</f>
        <v>0.21108397831215595</v>
      </c>
      <c r="AM257" s="316"/>
      <c r="AN257" s="317"/>
      <c r="AO257" s="318"/>
      <c r="AP257" s="316"/>
      <c r="AQ257" s="317"/>
      <c r="AR257" s="318">
        <f>IF(AP257&gt;0,(((AQ257-AP257)/AP257)*100),0)</f>
        <v>0</v>
      </c>
      <c r="AS257" s="316"/>
      <c r="AT257" s="317"/>
      <c r="AU257" s="318"/>
      <c r="AV257" s="316"/>
      <c r="AW257" s="317"/>
      <c r="AX257" s="318"/>
      <c r="AY257" s="316">
        <v>11746</v>
      </c>
      <c r="AZ257" s="317">
        <v>12867</v>
      </c>
      <c r="BA257" s="318">
        <f>IF(AY257&gt;0,(((AZ257-AY257)/AY257)*100),0)</f>
        <v>9.543674442363358</v>
      </c>
      <c r="BB257" s="316">
        <v>27916</v>
      </c>
      <c r="BC257" s="317">
        <v>29139</v>
      </c>
      <c r="BD257" s="318">
        <f>IF(BB257&gt;0,(((BC257-BB257)/BB257)*100),0)</f>
        <v>4.381000143287004</v>
      </c>
      <c r="BE257" s="320"/>
      <c r="BF257" s="320"/>
      <c r="BG257" s="320"/>
      <c r="BH257" s="320"/>
      <c r="BI257" s="320"/>
      <c r="BJ257" s="320"/>
      <c r="BK257" s="320"/>
      <c r="BL257" s="320"/>
      <c r="BM257" s="320"/>
      <c r="BN257" s="320"/>
      <c r="BO257" s="320"/>
      <c r="BP257" s="320"/>
      <c r="BQ257" s="320"/>
      <c r="BR257" s="320"/>
      <c r="BS257" s="320"/>
      <c r="BT257" s="320"/>
      <c r="BU257" s="320"/>
      <c r="BV257" s="320"/>
      <c r="BW257" s="320"/>
      <c r="BX257" s="320"/>
      <c r="BY257" s="320"/>
      <c r="BZ257" s="320"/>
      <c r="CA257" s="320"/>
      <c r="CB257" s="320"/>
      <c r="CC257" s="320"/>
      <c r="CD257" s="320"/>
      <c r="CE257" s="320"/>
      <c r="CF257" s="320"/>
      <c r="CG257" s="320"/>
      <c r="CH257" s="320"/>
      <c r="CI257" s="320"/>
      <c r="CJ257" s="320"/>
      <c r="CK257" s="320"/>
      <c r="CL257" s="320"/>
      <c r="CM257" s="320"/>
      <c r="CN257" s="320"/>
      <c r="CO257" s="320"/>
      <c r="CP257" s="320"/>
      <c r="CQ257" s="320"/>
      <c r="CR257" s="320"/>
    </row>
    <row r="258" spans="1:96" s="300" customFormat="1" ht="15.75" customHeight="1">
      <c r="A258" s="304" t="s">
        <v>397</v>
      </c>
      <c r="B258" s="305" t="s">
        <v>665</v>
      </c>
      <c r="C258" s="311">
        <v>3548</v>
      </c>
      <c r="D258" s="311">
        <v>3938</v>
      </c>
      <c r="E258" s="306">
        <f t="shared" si="47"/>
        <v>10.992108229988725</v>
      </c>
      <c r="F258" s="310">
        <v>10768</v>
      </c>
      <c r="G258" s="311">
        <v>12060</v>
      </c>
      <c r="H258" s="306">
        <f t="shared" si="48"/>
        <v>11.99851411589896</v>
      </c>
      <c r="I258" s="310">
        <v>3904</v>
      </c>
      <c r="J258" s="311">
        <v>4274</v>
      </c>
      <c r="K258" s="306">
        <f aca="true" t="shared" si="49" ref="K258:K264">IF(I258&gt;0,(((J258-I258)/I258)*100),0)</f>
        <v>9.477459016393443</v>
      </c>
      <c r="L258" s="310">
        <v>11108</v>
      </c>
      <c r="M258" s="311">
        <v>12442</v>
      </c>
      <c r="N258" s="306">
        <f aca="true" t="shared" si="50" ref="N258:N264">IF(L258&gt;0,(((M258-L258)/L258)*100),0)</f>
        <v>12.009362621534029</v>
      </c>
      <c r="O258" s="310"/>
      <c r="P258" s="311"/>
      <c r="Q258" s="306"/>
      <c r="R258" s="310"/>
      <c r="S258" s="311"/>
      <c r="T258" s="306"/>
      <c r="U258" s="310"/>
      <c r="V258" s="311"/>
      <c r="W258" s="306"/>
      <c r="X258" s="310"/>
      <c r="Y258" s="311"/>
      <c r="Z258" s="306"/>
      <c r="AA258" s="310"/>
      <c r="AB258" s="311"/>
      <c r="AC258" s="306"/>
      <c r="AD258" s="310"/>
      <c r="AE258" s="311"/>
      <c r="AF258" s="306"/>
      <c r="AG258" s="310"/>
      <c r="AH258" s="311"/>
      <c r="AI258" s="306"/>
      <c r="AJ258" s="310"/>
      <c r="AK258" s="311"/>
      <c r="AL258" s="306"/>
      <c r="AM258" s="310"/>
      <c r="AN258" s="311"/>
      <c r="AO258" s="306"/>
      <c r="AP258" s="310"/>
      <c r="AQ258" s="311"/>
      <c r="AR258" s="306"/>
      <c r="AS258" s="310"/>
      <c r="AT258" s="311"/>
      <c r="AU258" s="306"/>
      <c r="AV258" s="310"/>
      <c r="AW258" s="311"/>
      <c r="AX258" s="306"/>
      <c r="AY258" s="310"/>
      <c r="AZ258" s="311"/>
      <c r="BA258" s="306"/>
      <c r="BB258" s="310"/>
      <c r="BC258" s="311"/>
      <c r="BD258" s="306"/>
      <c r="BE258" s="312"/>
      <c r="BF258" s="312"/>
      <c r="BG258" s="312"/>
      <c r="BH258" s="312"/>
      <c r="BI258" s="312"/>
      <c r="BJ258" s="312"/>
      <c r="BK258" s="312"/>
      <c r="BL258" s="312"/>
      <c r="BM258" s="312"/>
      <c r="BN258" s="312"/>
      <c r="BO258" s="312"/>
      <c r="BP258" s="312"/>
      <c r="BQ258" s="312"/>
      <c r="BR258" s="312"/>
      <c r="BS258" s="312"/>
      <c r="BT258" s="312"/>
      <c r="BU258" s="312"/>
      <c r="BV258" s="312"/>
      <c r="BW258" s="312"/>
      <c r="BX258" s="312"/>
      <c r="BY258" s="312"/>
      <c r="BZ258" s="312"/>
      <c r="CA258" s="312"/>
      <c r="CB258" s="312"/>
      <c r="CC258" s="312"/>
      <c r="CD258" s="312"/>
      <c r="CE258" s="312"/>
      <c r="CF258" s="312"/>
      <c r="CG258" s="312"/>
      <c r="CH258" s="312"/>
      <c r="CI258" s="312"/>
      <c r="CJ258" s="312"/>
      <c r="CK258" s="312"/>
      <c r="CL258" s="312"/>
      <c r="CM258" s="312"/>
      <c r="CN258" s="312"/>
      <c r="CO258" s="312"/>
      <c r="CP258" s="312"/>
      <c r="CQ258" s="312"/>
      <c r="CR258" s="312"/>
    </row>
    <row r="259" spans="1:96" s="300" customFormat="1" ht="15.75" customHeight="1" thickBot="1">
      <c r="A259" s="313"/>
      <c r="B259" s="305" t="s">
        <v>666</v>
      </c>
      <c r="C259" s="311"/>
      <c r="D259" s="311"/>
      <c r="E259" s="306">
        <f t="shared" si="47"/>
        <v>0</v>
      </c>
      <c r="F259" s="310"/>
      <c r="G259" s="311"/>
      <c r="H259" s="306">
        <f t="shared" si="48"/>
        <v>0</v>
      </c>
      <c r="I259" s="310"/>
      <c r="J259" s="311"/>
      <c r="K259" s="306">
        <f t="shared" si="49"/>
        <v>0</v>
      </c>
      <c r="L259" s="310"/>
      <c r="M259" s="311"/>
      <c r="N259" s="306">
        <f t="shared" si="50"/>
        <v>0</v>
      </c>
      <c r="O259" s="310"/>
      <c r="P259" s="311"/>
      <c r="Q259" s="306"/>
      <c r="R259" s="310"/>
      <c r="S259" s="311"/>
      <c r="T259" s="306"/>
      <c r="U259" s="310"/>
      <c r="V259" s="311"/>
      <c r="W259" s="306"/>
      <c r="X259" s="310"/>
      <c r="Y259" s="311"/>
      <c r="Z259" s="306"/>
      <c r="AA259" s="310"/>
      <c r="AB259" s="311"/>
      <c r="AC259" s="306"/>
      <c r="AD259" s="310"/>
      <c r="AE259" s="311"/>
      <c r="AF259" s="306"/>
      <c r="AG259" s="310"/>
      <c r="AH259" s="311"/>
      <c r="AI259" s="306"/>
      <c r="AJ259" s="310"/>
      <c r="AK259" s="311"/>
      <c r="AL259" s="306"/>
      <c r="AM259" s="310"/>
      <c r="AN259" s="311"/>
      <c r="AO259" s="306"/>
      <c r="AP259" s="310"/>
      <c r="AQ259" s="311"/>
      <c r="AR259" s="306"/>
      <c r="AS259" s="310"/>
      <c r="AT259" s="311"/>
      <c r="AU259" s="306"/>
      <c r="AV259" s="310"/>
      <c r="AW259" s="311"/>
      <c r="AX259" s="306"/>
      <c r="AY259" s="310"/>
      <c r="AZ259" s="311"/>
      <c r="BA259" s="306"/>
      <c r="BB259" s="310"/>
      <c r="BC259" s="311"/>
      <c r="BD259" s="306"/>
      <c r="BE259" s="312"/>
      <c r="BF259" s="312"/>
      <c r="BG259" s="312"/>
      <c r="BH259" s="312"/>
      <c r="BI259" s="312"/>
      <c r="BJ259" s="312"/>
      <c r="BK259" s="312"/>
      <c r="BL259" s="312"/>
      <c r="BM259" s="312"/>
      <c r="BN259" s="312"/>
      <c r="BO259" s="312"/>
      <c r="BP259" s="312"/>
      <c r="BQ259" s="312"/>
      <c r="BR259" s="312"/>
      <c r="BS259" s="312"/>
      <c r="BT259" s="312"/>
      <c r="BU259" s="312"/>
      <c r="BV259" s="312"/>
      <c r="BW259" s="312"/>
      <c r="BX259" s="312"/>
      <c r="BY259" s="312"/>
      <c r="BZ259" s="312"/>
      <c r="CA259" s="312"/>
      <c r="CB259" s="312"/>
      <c r="CC259" s="312"/>
      <c r="CD259" s="312"/>
      <c r="CE259" s="312"/>
      <c r="CF259" s="312"/>
      <c r="CG259" s="312"/>
      <c r="CH259" s="312"/>
      <c r="CI259" s="312"/>
      <c r="CJ259" s="312"/>
      <c r="CK259" s="312"/>
      <c r="CL259" s="312"/>
      <c r="CM259" s="312"/>
      <c r="CN259" s="312"/>
      <c r="CO259" s="312"/>
      <c r="CP259" s="312"/>
      <c r="CQ259" s="312"/>
      <c r="CR259" s="312"/>
    </row>
    <row r="260" spans="1:96" s="300" customFormat="1" ht="15.75" customHeight="1" thickBot="1">
      <c r="A260" s="313"/>
      <c r="B260" s="305" t="s">
        <v>667</v>
      </c>
      <c r="C260" s="308">
        <v>3260</v>
      </c>
      <c r="D260" s="308">
        <v>3818</v>
      </c>
      <c r="E260" s="309">
        <f t="shared" si="47"/>
        <v>17.116564417177916</v>
      </c>
      <c r="F260" s="310">
        <v>8944</v>
      </c>
      <c r="G260" s="311">
        <v>10128</v>
      </c>
      <c r="H260" s="306">
        <f t="shared" si="48"/>
        <v>13.237924865831843</v>
      </c>
      <c r="I260" s="307">
        <v>3460</v>
      </c>
      <c r="J260" s="308">
        <v>4040</v>
      </c>
      <c r="K260" s="309">
        <f t="shared" si="49"/>
        <v>16.76300578034682</v>
      </c>
      <c r="L260" s="310">
        <v>10006</v>
      </c>
      <c r="M260" s="311">
        <v>11306</v>
      </c>
      <c r="N260" s="306">
        <f t="shared" si="50"/>
        <v>12.992204677193683</v>
      </c>
      <c r="O260" s="310"/>
      <c r="P260" s="311"/>
      <c r="Q260" s="306"/>
      <c r="R260" s="310"/>
      <c r="S260" s="311"/>
      <c r="T260" s="306"/>
      <c r="U260" s="310"/>
      <c r="V260" s="311"/>
      <c r="W260" s="306"/>
      <c r="X260" s="310"/>
      <c r="Y260" s="311"/>
      <c r="Z260" s="306"/>
      <c r="AA260" s="310"/>
      <c r="AB260" s="311"/>
      <c r="AC260" s="306"/>
      <c r="AD260" s="310"/>
      <c r="AE260" s="311"/>
      <c r="AF260" s="306"/>
      <c r="AG260" s="310"/>
      <c r="AH260" s="311"/>
      <c r="AI260" s="306"/>
      <c r="AJ260" s="310"/>
      <c r="AK260" s="311"/>
      <c r="AL260" s="306"/>
      <c r="AM260" s="310"/>
      <c r="AN260" s="311"/>
      <c r="AO260" s="306"/>
      <c r="AP260" s="310"/>
      <c r="AQ260" s="311"/>
      <c r="AR260" s="306"/>
      <c r="AS260" s="310"/>
      <c r="AT260" s="311"/>
      <c r="AU260" s="306"/>
      <c r="AV260" s="310"/>
      <c r="AW260" s="311"/>
      <c r="AX260" s="306"/>
      <c r="AY260" s="310"/>
      <c r="AZ260" s="311"/>
      <c r="BA260" s="306"/>
      <c r="BB260" s="310"/>
      <c r="BC260" s="311"/>
      <c r="BD260" s="306"/>
      <c r="BE260" s="312"/>
      <c r="BF260" s="312"/>
      <c r="BG260" s="312"/>
      <c r="BH260" s="312"/>
      <c r="BI260" s="312"/>
      <c r="BJ260" s="312"/>
      <c r="BK260" s="312"/>
      <c r="BL260" s="312"/>
      <c r="BM260" s="312"/>
      <c r="BN260" s="312"/>
      <c r="BO260" s="312"/>
      <c r="BP260" s="312"/>
      <c r="BQ260" s="312"/>
      <c r="BR260" s="312"/>
      <c r="BS260" s="312"/>
      <c r="BT260" s="312"/>
      <c r="BU260" s="312"/>
      <c r="BV260" s="312"/>
      <c r="BW260" s="312"/>
      <c r="BX260" s="312"/>
      <c r="BY260" s="312"/>
      <c r="BZ260" s="312"/>
      <c r="CA260" s="312"/>
      <c r="CB260" s="312"/>
      <c r="CC260" s="312"/>
      <c r="CD260" s="312"/>
      <c r="CE260" s="312"/>
      <c r="CF260" s="312"/>
      <c r="CG260" s="312"/>
      <c r="CH260" s="312"/>
      <c r="CI260" s="312"/>
      <c r="CJ260" s="312"/>
      <c r="CK260" s="312"/>
      <c r="CL260" s="312"/>
      <c r="CM260" s="312"/>
      <c r="CN260" s="312"/>
      <c r="CO260" s="312"/>
      <c r="CP260" s="312"/>
      <c r="CQ260" s="312"/>
      <c r="CR260" s="312"/>
    </row>
    <row r="261" spans="1:96" s="300" customFormat="1" ht="15.75" customHeight="1">
      <c r="A261" s="313"/>
      <c r="B261" s="305" t="s">
        <v>668</v>
      </c>
      <c r="C261" s="311"/>
      <c r="D261" s="311"/>
      <c r="E261" s="306">
        <f t="shared" si="47"/>
        <v>0</v>
      </c>
      <c r="F261" s="310"/>
      <c r="G261" s="311"/>
      <c r="H261" s="306">
        <f t="shared" si="48"/>
        <v>0</v>
      </c>
      <c r="I261" s="310"/>
      <c r="J261" s="311"/>
      <c r="K261" s="306">
        <f t="shared" si="49"/>
        <v>0</v>
      </c>
      <c r="L261" s="310"/>
      <c r="M261" s="311"/>
      <c r="N261" s="306">
        <f t="shared" si="50"/>
        <v>0</v>
      </c>
      <c r="O261" s="310"/>
      <c r="P261" s="311"/>
      <c r="Q261" s="306"/>
      <c r="R261" s="310"/>
      <c r="S261" s="311"/>
      <c r="T261" s="306"/>
      <c r="U261" s="310"/>
      <c r="V261" s="311"/>
      <c r="W261" s="306"/>
      <c r="X261" s="310"/>
      <c r="Y261" s="311"/>
      <c r="Z261" s="306"/>
      <c r="AA261" s="310"/>
      <c r="AB261" s="311"/>
      <c r="AC261" s="306"/>
      <c r="AD261" s="310"/>
      <c r="AE261" s="311"/>
      <c r="AF261" s="306"/>
      <c r="AG261" s="310"/>
      <c r="AH261" s="311"/>
      <c r="AI261" s="306"/>
      <c r="AJ261" s="310"/>
      <c r="AK261" s="311"/>
      <c r="AL261" s="306"/>
      <c r="AM261" s="310"/>
      <c r="AN261" s="311"/>
      <c r="AO261" s="306"/>
      <c r="AP261" s="310"/>
      <c r="AQ261" s="311"/>
      <c r="AR261" s="306"/>
      <c r="AS261" s="310"/>
      <c r="AT261" s="311"/>
      <c r="AU261" s="306"/>
      <c r="AV261" s="310"/>
      <c r="AW261" s="311"/>
      <c r="AX261" s="306"/>
      <c r="AY261" s="310"/>
      <c r="AZ261" s="311"/>
      <c r="BA261" s="306"/>
      <c r="BB261" s="310"/>
      <c r="BC261" s="311"/>
      <c r="BD261" s="306"/>
      <c r="BE261" s="312"/>
      <c r="BF261" s="312"/>
      <c r="BG261" s="312"/>
      <c r="BH261" s="312"/>
      <c r="BI261" s="312"/>
      <c r="BJ261" s="312"/>
      <c r="BK261" s="312"/>
      <c r="BL261" s="312"/>
      <c r="BM261" s="312"/>
      <c r="BN261" s="312"/>
      <c r="BO261" s="312"/>
      <c r="BP261" s="312"/>
      <c r="BQ261" s="312"/>
      <c r="BR261" s="312"/>
      <c r="BS261" s="312"/>
      <c r="BT261" s="312"/>
      <c r="BU261" s="312"/>
      <c r="BV261" s="312"/>
      <c r="BW261" s="312"/>
      <c r="BX261" s="312"/>
      <c r="BY261" s="312"/>
      <c r="BZ261" s="312"/>
      <c r="CA261" s="312"/>
      <c r="CB261" s="312"/>
      <c r="CC261" s="312"/>
      <c r="CD261" s="312"/>
      <c r="CE261" s="312"/>
      <c r="CF261" s="312"/>
      <c r="CG261" s="312"/>
      <c r="CH261" s="312"/>
      <c r="CI261" s="312"/>
      <c r="CJ261" s="312"/>
      <c r="CK261" s="312"/>
      <c r="CL261" s="312"/>
      <c r="CM261" s="312"/>
      <c r="CN261" s="312"/>
      <c r="CO261" s="312"/>
      <c r="CP261" s="312"/>
      <c r="CQ261" s="312"/>
      <c r="CR261" s="312"/>
    </row>
    <row r="262" spans="1:96" s="300" customFormat="1" ht="15.75" customHeight="1">
      <c r="A262" s="313"/>
      <c r="B262" s="305" t="s">
        <v>669</v>
      </c>
      <c r="C262" s="311"/>
      <c r="D262" s="311"/>
      <c r="E262" s="306">
        <f t="shared" si="47"/>
        <v>0</v>
      </c>
      <c r="F262" s="310"/>
      <c r="G262" s="311"/>
      <c r="H262" s="306">
        <f t="shared" si="48"/>
        <v>0</v>
      </c>
      <c r="I262" s="310"/>
      <c r="J262" s="311"/>
      <c r="K262" s="306">
        <f t="shared" si="49"/>
        <v>0</v>
      </c>
      <c r="L262" s="310"/>
      <c r="M262" s="311"/>
      <c r="N262" s="306">
        <f t="shared" si="50"/>
        <v>0</v>
      </c>
      <c r="O262" s="310"/>
      <c r="P262" s="311"/>
      <c r="Q262" s="306"/>
      <c r="R262" s="310"/>
      <c r="S262" s="311"/>
      <c r="T262" s="306"/>
      <c r="U262" s="310"/>
      <c r="V262" s="311"/>
      <c r="W262" s="306"/>
      <c r="X262" s="310"/>
      <c r="Y262" s="311"/>
      <c r="Z262" s="306"/>
      <c r="AA262" s="310"/>
      <c r="AB262" s="311"/>
      <c r="AC262" s="306"/>
      <c r="AD262" s="310"/>
      <c r="AE262" s="311"/>
      <c r="AF262" s="306"/>
      <c r="AG262" s="310"/>
      <c r="AH262" s="311"/>
      <c r="AI262" s="306"/>
      <c r="AJ262" s="310"/>
      <c r="AK262" s="311"/>
      <c r="AL262" s="306"/>
      <c r="AM262" s="310"/>
      <c r="AN262" s="311"/>
      <c r="AO262" s="306"/>
      <c r="AP262" s="310"/>
      <c r="AQ262" s="311"/>
      <c r="AR262" s="306"/>
      <c r="AS262" s="310"/>
      <c r="AT262" s="311"/>
      <c r="AU262" s="306"/>
      <c r="AV262" s="310"/>
      <c r="AW262" s="311"/>
      <c r="AX262" s="306"/>
      <c r="AY262" s="310"/>
      <c r="AZ262" s="311"/>
      <c r="BA262" s="306"/>
      <c r="BB262" s="310"/>
      <c r="BC262" s="311"/>
      <c r="BD262" s="306"/>
      <c r="BE262" s="312"/>
      <c r="BF262" s="312"/>
      <c r="BG262" s="312"/>
      <c r="BH262" s="312"/>
      <c r="BI262" s="312"/>
      <c r="BJ262" s="312"/>
      <c r="BK262" s="312"/>
      <c r="BL262" s="312"/>
      <c r="BM262" s="312"/>
      <c r="BN262" s="312"/>
      <c r="BO262" s="312"/>
      <c r="BP262" s="312"/>
      <c r="BQ262" s="312"/>
      <c r="BR262" s="312"/>
      <c r="BS262" s="312"/>
      <c r="BT262" s="312"/>
      <c r="BU262" s="312"/>
      <c r="BV262" s="312"/>
      <c r="BW262" s="312"/>
      <c r="BX262" s="312"/>
      <c r="BY262" s="312"/>
      <c r="BZ262" s="312"/>
      <c r="CA262" s="312"/>
      <c r="CB262" s="312"/>
      <c r="CC262" s="312"/>
      <c r="CD262" s="312"/>
      <c r="CE262" s="312"/>
      <c r="CF262" s="312"/>
      <c r="CG262" s="312"/>
      <c r="CH262" s="312"/>
      <c r="CI262" s="312"/>
      <c r="CJ262" s="312"/>
      <c r="CK262" s="312"/>
      <c r="CL262" s="312"/>
      <c r="CM262" s="312"/>
      <c r="CN262" s="312"/>
      <c r="CO262" s="312"/>
      <c r="CP262" s="312"/>
      <c r="CQ262" s="312"/>
      <c r="CR262" s="312"/>
    </row>
    <row r="263" spans="1:96" s="300" customFormat="1" ht="15.75" customHeight="1" thickBot="1">
      <c r="A263" s="313"/>
      <c r="B263" s="305" t="s">
        <v>670</v>
      </c>
      <c r="C263" s="311">
        <v>3134</v>
      </c>
      <c r="D263" s="311">
        <v>3484</v>
      </c>
      <c r="E263" s="306">
        <f t="shared" si="47"/>
        <v>11.167836630504148</v>
      </c>
      <c r="F263" s="310">
        <v>7292</v>
      </c>
      <c r="G263" s="311">
        <v>7967</v>
      </c>
      <c r="H263" s="306">
        <f t="shared" si="48"/>
        <v>9.256719692814043</v>
      </c>
      <c r="I263" s="310">
        <v>3695</v>
      </c>
      <c r="J263" s="311">
        <v>4010</v>
      </c>
      <c r="K263" s="306">
        <f t="shared" si="49"/>
        <v>8.525033829499323</v>
      </c>
      <c r="L263" s="310">
        <v>8240</v>
      </c>
      <c r="M263" s="311">
        <v>8440</v>
      </c>
      <c r="N263" s="306">
        <f t="shared" si="50"/>
        <v>2.4271844660194173</v>
      </c>
      <c r="O263" s="311"/>
      <c r="P263" s="311"/>
      <c r="Q263" s="306"/>
      <c r="R263" s="311"/>
      <c r="S263" s="311"/>
      <c r="T263" s="306"/>
      <c r="U263" s="311"/>
      <c r="V263" s="311"/>
      <c r="W263" s="306"/>
      <c r="X263" s="311"/>
      <c r="Y263" s="311"/>
      <c r="Z263" s="306"/>
      <c r="AA263" s="311"/>
      <c r="AB263" s="311"/>
      <c r="AC263" s="306"/>
      <c r="AD263" s="311"/>
      <c r="AE263" s="311"/>
      <c r="AF263" s="306"/>
      <c r="AG263" s="311"/>
      <c r="AH263" s="311"/>
      <c r="AI263" s="306"/>
      <c r="AJ263" s="311"/>
      <c r="AK263" s="311"/>
      <c r="AL263" s="306"/>
      <c r="AM263" s="311"/>
      <c r="AN263" s="311"/>
      <c r="AO263" s="306"/>
      <c r="AP263" s="311"/>
      <c r="AQ263" s="311"/>
      <c r="AR263" s="306"/>
      <c r="AS263" s="311"/>
      <c r="AT263" s="311"/>
      <c r="AU263" s="306"/>
      <c r="AV263" s="311"/>
      <c r="AW263" s="311"/>
      <c r="AX263" s="306"/>
      <c r="AY263" s="311"/>
      <c r="AZ263" s="311"/>
      <c r="BA263" s="306"/>
      <c r="BB263" s="311"/>
      <c r="BC263" s="311"/>
      <c r="BD263" s="306"/>
      <c r="BE263" s="312"/>
      <c r="BF263" s="312"/>
      <c r="BG263" s="312"/>
      <c r="BH263" s="312"/>
      <c r="BI263" s="312"/>
      <c r="BJ263" s="312"/>
      <c r="BK263" s="312"/>
      <c r="BL263" s="312"/>
      <c r="BM263" s="312"/>
      <c r="BN263" s="312"/>
      <c r="BO263" s="312"/>
      <c r="BP263" s="312"/>
      <c r="BQ263" s="312"/>
      <c r="BR263" s="312"/>
      <c r="BS263" s="312"/>
      <c r="BT263" s="312"/>
      <c r="BU263" s="312"/>
      <c r="BV263" s="312"/>
      <c r="BW263" s="312"/>
      <c r="BX263" s="312"/>
      <c r="BY263" s="312"/>
      <c r="BZ263" s="312"/>
      <c r="CA263" s="312"/>
      <c r="CB263" s="312"/>
      <c r="CC263" s="312"/>
      <c r="CD263" s="312"/>
      <c r="CE263" s="312"/>
      <c r="CF263" s="312"/>
      <c r="CG263" s="312"/>
      <c r="CH263" s="312"/>
      <c r="CI263" s="312"/>
      <c r="CJ263" s="312"/>
      <c r="CK263" s="312"/>
      <c r="CL263" s="312"/>
      <c r="CM263" s="312"/>
      <c r="CN263" s="312"/>
      <c r="CO263" s="312"/>
      <c r="CP263" s="312"/>
      <c r="CQ263" s="312"/>
      <c r="CR263" s="312"/>
    </row>
    <row r="264" spans="1:96" s="300" customFormat="1" ht="15.75" customHeight="1" thickBot="1">
      <c r="A264" s="313"/>
      <c r="B264" s="305" t="s">
        <v>1041</v>
      </c>
      <c r="C264" s="308">
        <v>3168</v>
      </c>
      <c r="D264" s="308">
        <v>3621</v>
      </c>
      <c r="E264" s="309">
        <f t="shared" si="47"/>
        <v>14.299242424242426</v>
      </c>
      <c r="F264" s="310">
        <v>7548</v>
      </c>
      <c r="G264" s="311">
        <v>8181</v>
      </c>
      <c r="H264" s="306">
        <f t="shared" si="48"/>
        <v>8.386327503974563</v>
      </c>
      <c r="I264" s="307">
        <v>3695</v>
      </c>
      <c r="J264" s="308">
        <v>4084</v>
      </c>
      <c r="K264" s="309">
        <f t="shared" si="49"/>
        <v>10.527740189445197</v>
      </c>
      <c r="L264" s="310">
        <v>9397</v>
      </c>
      <c r="M264" s="311">
        <v>10031</v>
      </c>
      <c r="N264" s="306">
        <f t="shared" si="50"/>
        <v>6.746834095988081</v>
      </c>
      <c r="O264" s="310"/>
      <c r="P264" s="311"/>
      <c r="Q264" s="306"/>
      <c r="R264" s="310"/>
      <c r="S264" s="311"/>
      <c r="T264" s="306"/>
      <c r="U264" s="310"/>
      <c r="V264" s="311"/>
      <c r="W264" s="306"/>
      <c r="X264" s="310"/>
      <c r="Y264" s="311"/>
      <c r="Z264" s="306"/>
      <c r="AA264" s="310"/>
      <c r="AB264" s="311"/>
      <c r="AC264" s="306"/>
      <c r="AD264" s="310"/>
      <c r="AE264" s="311"/>
      <c r="AF264" s="306"/>
      <c r="AG264" s="310"/>
      <c r="AH264" s="311"/>
      <c r="AI264" s="306"/>
      <c r="AJ264" s="310"/>
      <c r="AK264" s="311"/>
      <c r="AL264" s="306"/>
      <c r="AM264" s="310"/>
      <c r="AN264" s="311"/>
      <c r="AO264" s="306"/>
      <c r="AP264" s="310"/>
      <c r="AQ264" s="311"/>
      <c r="AR264" s="306"/>
      <c r="AS264" s="310"/>
      <c r="AT264" s="311"/>
      <c r="AU264" s="306"/>
      <c r="AV264" s="310"/>
      <c r="AW264" s="311"/>
      <c r="AX264" s="306"/>
      <c r="AY264" s="310"/>
      <c r="AZ264" s="311"/>
      <c r="BA264" s="306"/>
      <c r="BB264" s="310"/>
      <c r="BC264" s="311"/>
      <c r="BD264" s="306"/>
      <c r="BE264" s="312"/>
      <c r="BF264" s="312"/>
      <c r="BG264" s="312"/>
      <c r="BH264" s="312"/>
      <c r="BI264" s="312"/>
      <c r="BJ264" s="312"/>
      <c r="BK264" s="312"/>
      <c r="BL264" s="312"/>
      <c r="BM264" s="312"/>
      <c r="BN264" s="312"/>
      <c r="BO264" s="312"/>
      <c r="BP264" s="312"/>
      <c r="BQ264" s="312"/>
      <c r="BR264" s="312"/>
      <c r="BS264" s="312"/>
      <c r="BT264" s="312"/>
      <c r="BU264" s="312"/>
      <c r="BV264" s="312"/>
      <c r="BW264" s="312"/>
      <c r="BX264" s="312"/>
      <c r="BY264" s="312"/>
      <c r="BZ264" s="312"/>
      <c r="CA264" s="312"/>
      <c r="CB264" s="312"/>
      <c r="CC264" s="312"/>
      <c r="CD264" s="312"/>
      <c r="CE264" s="312"/>
      <c r="CF264" s="312"/>
      <c r="CG264" s="312"/>
      <c r="CH264" s="312"/>
      <c r="CI264" s="312"/>
      <c r="CJ264" s="312"/>
      <c r="CK264" s="312"/>
      <c r="CL264" s="312"/>
      <c r="CM264" s="312"/>
      <c r="CN264" s="312"/>
      <c r="CO264" s="312"/>
      <c r="CP264" s="312"/>
      <c r="CQ264" s="312"/>
      <c r="CR264" s="312"/>
    </row>
    <row r="265" spans="1:96" s="300" customFormat="1" ht="15.75" customHeight="1">
      <c r="A265" s="313"/>
      <c r="B265" s="305" t="s">
        <v>671</v>
      </c>
      <c r="C265" s="311">
        <v>1620</v>
      </c>
      <c r="D265" s="311">
        <v>1668</v>
      </c>
      <c r="E265" s="306">
        <f t="shared" si="47"/>
        <v>2.9629629629629632</v>
      </c>
      <c r="F265" s="310">
        <v>5604</v>
      </c>
      <c r="G265" s="311">
        <v>5772</v>
      </c>
      <c r="H265" s="306">
        <f t="shared" si="48"/>
        <v>2.9978586723768736</v>
      </c>
      <c r="I265" s="310">
        <v>0</v>
      </c>
      <c r="J265" s="311">
        <v>0</v>
      </c>
      <c r="K265" s="306"/>
      <c r="L265" s="310">
        <v>0</v>
      </c>
      <c r="M265" s="311">
        <v>0</v>
      </c>
      <c r="N265" s="306"/>
      <c r="O265" s="310"/>
      <c r="P265" s="311"/>
      <c r="Q265" s="306"/>
      <c r="R265" s="310"/>
      <c r="S265" s="311"/>
      <c r="T265" s="306"/>
      <c r="U265" s="310"/>
      <c r="V265" s="311"/>
      <c r="W265" s="306"/>
      <c r="X265" s="310"/>
      <c r="Y265" s="311"/>
      <c r="Z265" s="306"/>
      <c r="AA265" s="310"/>
      <c r="AB265" s="311"/>
      <c r="AC265" s="306"/>
      <c r="AD265" s="310"/>
      <c r="AE265" s="311"/>
      <c r="AF265" s="306"/>
      <c r="AG265" s="310"/>
      <c r="AH265" s="311"/>
      <c r="AI265" s="306"/>
      <c r="AJ265" s="310"/>
      <c r="AK265" s="311"/>
      <c r="AL265" s="306"/>
      <c r="AM265" s="310"/>
      <c r="AN265" s="311"/>
      <c r="AO265" s="306"/>
      <c r="AP265" s="310"/>
      <c r="AQ265" s="311"/>
      <c r="AR265" s="306"/>
      <c r="AS265" s="310"/>
      <c r="AT265" s="311"/>
      <c r="AU265" s="306"/>
      <c r="AV265" s="310"/>
      <c r="AW265" s="311"/>
      <c r="AX265" s="306"/>
      <c r="AY265" s="310"/>
      <c r="AZ265" s="311"/>
      <c r="BA265" s="306"/>
      <c r="BB265" s="310"/>
      <c r="BC265" s="311"/>
      <c r="BD265" s="306"/>
      <c r="BE265" s="312"/>
      <c r="BF265" s="312"/>
      <c r="BG265" s="312"/>
      <c r="BH265" s="312"/>
      <c r="BI265" s="312"/>
      <c r="BJ265" s="312"/>
      <c r="BK265" s="312"/>
      <c r="BL265" s="312"/>
      <c r="BM265" s="312"/>
      <c r="BN265" s="312"/>
      <c r="BO265" s="312"/>
      <c r="BP265" s="312"/>
      <c r="BQ265" s="312"/>
      <c r="BR265" s="312"/>
      <c r="BS265" s="312"/>
      <c r="BT265" s="312"/>
      <c r="BU265" s="312"/>
      <c r="BV265" s="312"/>
      <c r="BW265" s="312"/>
      <c r="BX265" s="312"/>
      <c r="BY265" s="312"/>
      <c r="BZ265" s="312"/>
      <c r="CA265" s="312"/>
      <c r="CB265" s="312"/>
      <c r="CC265" s="312"/>
      <c r="CD265" s="312"/>
      <c r="CE265" s="312"/>
      <c r="CF265" s="312"/>
      <c r="CG265" s="312"/>
      <c r="CH265" s="312"/>
      <c r="CI265" s="312"/>
      <c r="CJ265" s="312"/>
      <c r="CK265" s="312"/>
      <c r="CL265" s="312"/>
      <c r="CM265" s="312"/>
      <c r="CN265" s="312"/>
      <c r="CO265" s="312"/>
      <c r="CP265" s="312"/>
      <c r="CQ265" s="312"/>
      <c r="CR265" s="312"/>
    </row>
    <row r="266" spans="1:96" s="300" customFormat="1" ht="15.75" customHeight="1">
      <c r="A266" s="313"/>
      <c r="B266" s="305" t="s">
        <v>672</v>
      </c>
      <c r="C266" s="311"/>
      <c r="D266" s="311"/>
      <c r="E266" s="306">
        <f t="shared" si="47"/>
        <v>0</v>
      </c>
      <c r="F266" s="310"/>
      <c r="G266" s="311"/>
      <c r="H266" s="306">
        <f t="shared" si="48"/>
        <v>0</v>
      </c>
      <c r="I266" s="310"/>
      <c r="J266" s="311"/>
      <c r="K266" s="306"/>
      <c r="L266" s="310"/>
      <c r="M266" s="311"/>
      <c r="N266" s="306"/>
      <c r="O266" s="310"/>
      <c r="P266" s="311"/>
      <c r="Q266" s="306"/>
      <c r="R266" s="310"/>
      <c r="S266" s="311"/>
      <c r="T266" s="306"/>
      <c r="U266" s="310"/>
      <c r="V266" s="311"/>
      <c r="W266" s="306"/>
      <c r="X266" s="310"/>
      <c r="Y266" s="311"/>
      <c r="Z266" s="306"/>
      <c r="AA266" s="310"/>
      <c r="AB266" s="311"/>
      <c r="AC266" s="306"/>
      <c r="AD266" s="310"/>
      <c r="AE266" s="311"/>
      <c r="AF266" s="306"/>
      <c r="AG266" s="310"/>
      <c r="AH266" s="311"/>
      <c r="AI266" s="306"/>
      <c r="AJ266" s="310"/>
      <c r="AK266" s="311"/>
      <c r="AL266" s="306"/>
      <c r="AM266" s="310"/>
      <c r="AN266" s="311"/>
      <c r="AO266" s="306"/>
      <c r="AP266" s="310"/>
      <c r="AQ266" s="311"/>
      <c r="AR266" s="306"/>
      <c r="AS266" s="310"/>
      <c r="AT266" s="311"/>
      <c r="AU266" s="306"/>
      <c r="AV266" s="310"/>
      <c r="AW266" s="311"/>
      <c r="AX266" s="306"/>
      <c r="AY266" s="310"/>
      <c r="AZ266" s="311"/>
      <c r="BA266" s="306"/>
      <c r="BB266" s="310"/>
      <c r="BC266" s="311"/>
      <c r="BD266" s="306"/>
      <c r="BE266" s="312"/>
      <c r="BF266" s="312"/>
      <c r="BG266" s="312"/>
      <c r="BH266" s="312"/>
      <c r="BI266" s="312"/>
      <c r="BJ266" s="312"/>
      <c r="BK266" s="312"/>
      <c r="BL266" s="312"/>
      <c r="BM266" s="312"/>
      <c r="BN266" s="312"/>
      <c r="BO266" s="312"/>
      <c r="BP266" s="312"/>
      <c r="BQ266" s="312"/>
      <c r="BR266" s="312"/>
      <c r="BS266" s="312"/>
      <c r="BT266" s="312"/>
      <c r="BU266" s="312"/>
      <c r="BV266" s="312"/>
      <c r="BW266" s="312"/>
      <c r="BX266" s="312"/>
      <c r="BY266" s="312"/>
      <c r="BZ266" s="312"/>
      <c r="CA266" s="312"/>
      <c r="CB266" s="312"/>
      <c r="CC266" s="312"/>
      <c r="CD266" s="312"/>
      <c r="CE266" s="312"/>
      <c r="CF266" s="312"/>
      <c r="CG266" s="312"/>
      <c r="CH266" s="312"/>
      <c r="CI266" s="312"/>
      <c r="CJ266" s="312"/>
      <c r="CK266" s="312"/>
      <c r="CL266" s="312"/>
      <c r="CM266" s="312"/>
      <c r="CN266" s="312"/>
      <c r="CO266" s="312"/>
      <c r="CP266" s="312"/>
      <c r="CQ266" s="312"/>
      <c r="CR266" s="312"/>
    </row>
    <row r="267" spans="1:96" s="300" customFormat="1" ht="15.75" customHeight="1" thickBot="1">
      <c r="A267" s="313"/>
      <c r="B267" s="305" t="s">
        <v>673</v>
      </c>
      <c r="C267" s="311">
        <v>2712</v>
      </c>
      <c r="D267" s="311">
        <v>3052</v>
      </c>
      <c r="E267" s="306">
        <f t="shared" si="47"/>
        <v>12.536873156342182</v>
      </c>
      <c r="F267" s="323">
        <v>6560</v>
      </c>
      <c r="G267" s="324">
        <v>7072</v>
      </c>
      <c r="H267" s="306">
        <f t="shared" si="48"/>
        <v>7.804878048780488</v>
      </c>
      <c r="I267" s="310"/>
      <c r="J267" s="311"/>
      <c r="K267" s="306"/>
      <c r="L267" s="310"/>
      <c r="M267" s="311"/>
      <c r="N267" s="306"/>
      <c r="O267" s="310"/>
      <c r="P267" s="311"/>
      <c r="Q267" s="306"/>
      <c r="R267" s="310"/>
      <c r="S267" s="311"/>
      <c r="T267" s="306"/>
      <c r="U267" s="310"/>
      <c r="V267" s="311"/>
      <c r="W267" s="306"/>
      <c r="X267" s="310"/>
      <c r="Y267" s="311"/>
      <c r="Z267" s="306"/>
      <c r="AA267" s="310"/>
      <c r="AB267" s="311"/>
      <c r="AC267" s="306"/>
      <c r="AD267" s="310"/>
      <c r="AE267" s="311"/>
      <c r="AF267" s="306"/>
      <c r="AG267" s="310"/>
      <c r="AH267" s="311"/>
      <c r="AI267" s="306"/>
      <c r="AJ267" s="310"/>
      <c r="AK267" s="311"/>
      <c r="AL267" s="306"/>
      <c r="AM267" s="310"/>
      <c r="AN267" s="311"/>
      <c r="AO267" s="306"/>
      <c r="AP267" s="310"/>
      <c r="AQ267" s="311"/>
      <c r="AR267" s="306"/>
      <c r="AS267" s="310"/>
      <c r="AT267" s="311"/>
      <c r="AU267" s="306"/>
      <c r="AV267" s="310"/>
      <c r="AW267" s="311"/>
      <c r="AX267" s="306"/>
      <c r="AY267" s="310"/>
      <c r="AZ267" s="311"/>
      <c r="BA267" s="306"/>
      <c r="BB267" s="310"/>
      <c r="BC267" s="311"/>
      <c r="BD267" s="306"/>
      <c r="BE267" s="312"/>
      <c r="BF267" s="312"/>
      <c r="BG267" s="312"/>
      <c r="BH267" s="312"/>
      <c r="BI267" s="312"/>
      <c r="BJ267" s="312"/>
      <c r="BK267" s="312"/>
      <c r="BL267" s="312"/>
      <c r="BM267" s="312"/>
      <c r="BN267" s="312"/>
      <c r="BO267" s="312"/>
      <c r="BP267" s="312"/>
      <c r="BQ267" s="312"/>
      <c r="BR267" s="312"/>
      <c r="BS267" s="312"/>
      <c r="BT267" s="312"/>
      <c r="BU267" s="312"/>
      <c r="BV267" s="312"/>
      <c r="BW267" s="312"/>
      <c r="BX267" s="312"/>
      <c r="BY267" s="312"/>
      <c r="BZ267" s="312"/>
      <c r="CA267" s="312"/>
      <c r="CB267" s="312"/>
      <c r="CC267" s="312"/>
      <c r="CD267" s="312"/>
      <c r="CE267" s="312"/>
      <c r="CF267" s="312"/>
      <c r="CG267" s="312"/>
      <c r="CH267" s="312"/>
      <c r="CI267" s="312"/>
      <c r="CJ267" s="312"/>
      <c r="CK267" s="312"/>
      <c r="CL267" s="312"/>
      <c r="CM267" s="312"/>
      <c r="CN267" s="312"/>
      <c r="CO267" s="312"/>
      <c r="CP267" s="312"/>
      <c r="CQ267" s="312"/>
      <c r="CR267" s="312"/>
    </row>
    <row r="268" spans="1:96" s="300" customFormat="1" ht="15.75" customHeight="1" thickBot="1">
      <c r="A268" s="313"/>
      <c r="B268" s="305" t="s">
        <v>76</v>
      </c>
      <c r="C268" s="311">
        <v>2349</v>
      </c>
      <c r="D268" s="311">
        <v>2624</v>
      </c>
      <c r="E268" s="322">
        <f t="shared" si="47"/>
        <v>11.707109408258834</v>
      </c>
      <c r="F268" s="307">
        <v>6882</v>
      </c>
      <c r="G268" s="308">
        <v>6894</v>
      </c>
      <c r="H268" s="309">
        <f t="shared" si="48"/>
        <v>0.17436791630340018</v>
      </c>
      <c r="I268" s="311"/>
      <c r="J268" s="311"/>
      <c r="K268" s="306"/>
      <c r="L268" s="310"/>
      <c r="M268" s="311"/>
      <c r="N268" s="306"/>
      <c r="O268" s="310"/>
      <c r="P268" s="311"/>
      <c r="Q268" s="306"/>
      <c r="R268" s="310"/>
      <c r="S268" s="311"/>
      <c r="T268" s="306"/>
      <c r="U268" s="310"/>
      <c r="V268" s="311"/>
      <c r="W268" s="306"/>
      <c r="X268" s="310"/>
      <c r="Y268" s="311"/>
      <c r="Z268" s="306"/>
      <c r="AA268" s="310"/>
      <c r="AB268" s="311"/>
      <c r="AC268" s="306"/>
      <c r="AD268" s="310"/>
      <c r="AE268" s="311"/>
      <c r="AF268" s="306"/>
      <c r="AG268" s="310"/>
      <c r="AH268" s="311"/>
      <c r="AI268" s="306"/>
      <c r="AJ268" s="310"/>
      <c r="AK268" s="311"/>
      <c r="AL268" s="306"/>
      <c r="AM268" s="310"/>
      <c r="AN268" s="311"/>
      <c r="AO268" s="306"/>
      <c r="AP268" s="310"/>
      <c r="AQ268" s="311"/>
      <c r="AR268" s="306"/>
      <c r="AS268" s="310"/>
      <c r="AT268" s="311"/>
      <c r="AU268" s="306"/>
      <c r="AV268" s="310"/>
      <c r="AW268" s="311"/>
      <c r="AX268" s="306"/>
      <c r="AY268" s="310"/>
      <c r="AZ268" s="311"/>
      <c r="BA268" s="306"/>
      <c r="BB268" s="310"/>
      <c r="BC268" s="311"/>
      <c r="BD268" s="306"/>
      <c r="BE268" s="312"/>
      <c r="BF268" s="312"/>
      <c r="BG268" s="312"/>
      <c r="BH268" s="312"/>
      <c r="BI268" s="312"/>
      <c r="BJ268" s="312"/>
      <c r="BK268" s="312"/>
      <c r="BL268" s="312"/>
      <c r="BM268" s="312"/>
      <c r="BN268" s="312"/>
      <c r="BO268" s="312"/>
      <c r="BP268" s="312"/>
      <c r="BQ268" s="312"/>
      <c r="BR268" s="312"/>
      <c r="BS268" s="312"/>
      <c r="BT268" s="312"/>
      <c r="BU268" s="312"/>
      <c r="BV268" s="312"/>
      <c r="BW268" s="312"/>
      <c r="BX268" s="312"/>
      <c r="BY268" s="312"/>
      <c r="BZ268" s="312"/>
      <c r="CA268" s="312"/>
      <c r="CB268" s="312"/>
      <c r="CC268" s="312"/>
      <c r="CD268" s="312"/>
      <c r="CE268" s="312"/>
      <c r="CF268" s="312"/>
      <c r="CG268" s="312"/>
      <c r="CH268" s="312"/>
      <c r="CI268" s="312"/>
      <c r="CJ268" s="312"/>
      <c r="CK268" s="312"/>
      <c r="CL268" s="312"/>
      <c r="CM268" s="312"/>
      <c r="CN268" s="312"/>
      <c r="CO268" s="312"/>
      <c r="CP268" s="312"/>
      <c r="CQ268" s="312"/>
      <c r="CR268" s="312"/>
    </row>
    <row r="269" spans="1:96" s="300" customFormat="1" ht="15.75" customHeight="1">
      <c r="A269" s="313"/>
      <c r="B269" s="305" t="s">
        <v>473</v>
      </c>
      <c r="C269" s="311">
        <v>2349</v>
      </c>
      <c r="D269" s="311">
        <v>2624</v>
      </c>
      <c r="E269" s="306">
        <f t="shared" si="47"/>
        <v>11.707109408258834</v>
      </c>
      <c r="F269" s="310">
        <v>6376</v>
      </c>
      <c r="G269" s="311">
        <v>6894</v>
      </c>
      <c r="H269" s="306">
        <f t="shared" si="48"/>
        <v>8.124215809284818</v>
      </c>
      <c r="I269" s="310"/>
      <c r="J269" s="311"/>
      <c r="K269" s="306"/>
      <c r="L269" s="310"/>
      <c r="M269" s="311"/>
      <c r="N269" s="306"/>
      <c r="O269" s="310"/>
      <c r="P269" s="311"/>
      <c r="Q269" s="306"/>
      <c r="R269" s="310"/>
      <c r="S269" s="311"/>
      <c r="T269" s="306"/>
      <c r="U269" s="310"/>
      <c r="V269" s="311"/>
      <c r="W269" s="306"/>
      <c r="X269" s="310"/>
      <c r="Y269" s="311"/>
      <c r="Z269" s="306"/>
      <c r="AA269" s="310"/>
      <c r="AB269" s="311"/>
      <c r="AC269" s="306"/>
      <c r="AD269" s="310"/>
      <c r="AE269" s="311"/>
      <c r="AF269" s="306"/>
      <c r="AG269" s="310"/>
      <c r="AH269" s="311"/>
      <c r="AI269" s="306"/>
      <c r="AJ269" s="310"/>
      <c r="AK269" s="311"/>
      <c r="AL269" s="306"/>
      <c r="AM269" s="310"/>
      <c r="AN269" s="311"/>
      <c r="AO269" s="306"/>
      <c r="AP269" s="310"/>
      <c r="AQ269" s="311"/>
      <c r="AR269" s="306"/>
      <c r="AS269" s="310"/>
      <c r="AT269" s="311"/>
      <c r="AU269" s="306"/>
      <c r="AV269" s="310"/>
      <c r="AW269" s="311"/>
      <c r="AX269" s="306"/>
      <c r="AY269" s="310"/>
      <c r="AZ269" s="311"/>
      <c r="BA269" s="306"/>
      <c r="BB269" s="310"/>
      <c r="BC269" s="311"/>
      <c r="BD269" s="306"/>
      <c r="BE269" s="312"/>
      <c r="BF269" s="312"/>
      <c r="BG269" s="312"/>
      <c r="BH269" s="312"/>
      <c r="BI269" s="312"/>
      <c r="BJ269" s="312"/>
      <c r="BK269" s="312"/>
      <c r="BL269" s="312"/>
      <c r="BM269" s="312"/>
      <c r="BN269" s="312"/>
      <c r="BO269" s="312"/>
      <c r="BP269" s="312"/>
      <c r="BQ269" s="312"/>
      <c r="BR269" s="312"/>
      <c r="BS269" s="312"/>
      <c r="BT269" s="312"/>
      <c r="BU269" s="312"/>
      <c r="BV269" s="312"/>
      <c r="BW269" s="312"/>
      <c r="BX269" s="312"/>
      <c r="BY269" s="312"/>
      <c r="BZ269" s="312"/>
      <c r="CA269" s="312"/>
      <c r="CB269" s="312"/>
      <c r="CC269" s="312"/>
      <c r="CD269" s="312"/>
      <c r="CE269" s="312"/>
      <c r="CF269" s="312"/>
      <c r="CG269" s="312"/>
      <c r="CH269" s="312"/>
      <c r="CI269" s="312"/>
      <c r="CJ269" s="312"/>
      <c r="CK269" s="312"/>
      <c r="CL269" s="312"/>
      <c r="CM269" s="312"/>
      <c r="CN269" s="312"/>
      <c r="CO269" s="312"/>
      <c r="CP269" s="312"/>
      <c r="CQ269" s="312"/>
      <c r="CR269" s="312"/>
    </row>
    <row r="270" spans="1:96" s="300" customFormat="1" ht="15.75" customHeight="1">
      <c r="A270" s="313"/>
      <c r="B270" s="305" t="s">
        <v>77</v>
      </c>
      <c r="C270" s="311"/>
      <c r="D270" s="311"/>
      <c r="E270" s="306">
        <f aca="true" t="shared" si="51" ref="E270:E290">IF(C270&gt;0,(((D270-C270)/C270)*100),0)</f>
        <v>0</v>
      </c>
      <c r="F270" s="310"/>
      <c r="G270" s="311"/>
      <c r="H270" s="306">
        <f aca="true" t="shared" si="52" ref="H270:H290">IF(F270&gt;0,(((G270-F270)/F270)*100),0)</f>
        <v>0</v>
      </c>
      <c r="I270" s="310"/>
      <c r="J270" s="311"/>
      <c r="K270" s="306"/>
      <c r="L270" s="310"/>
      <c r="M270" s="311"/>
      <c r="N270" s="306"/>
      <c r="O270" s="310"/>
      <c r="P270" s="311"/>
      <c r="Q270" s="306"/>
      <c r="R270" s="310"/>
      <c r="S270" s="311"/>
      <c r="T270" s="306"/>
      <c r="U270" s="310"/>
      <c r="V270" s="311"/>
      <c r="W270" s="306"/>
      <c r="X270" s="310"/>
      <c r="Y270" s="311"/>
      <c r="Z270" s="306"/>
      <c r="AA270" s="310"/>
      <c r="AB270" s="311"/>
      <c r="AC270" s="306"/>
      <c r="AD270" s="310"/>
      <c r="AE270" s="311"/>
      <c r="AF270" s="306"/>
      <c r="AG270" s="310"/>
      <c r="AH270" s="311"/>
      <c r="AI270" s="306"/>
      <c r="AJ270" s="310"/>
      <c r="AK270" s="311"/>
      <c r="AL270" s="306"/>
      <c r="AM270" s="310"/>
      <c r="AN270" s="311"/>
      <c r="AO270" s="306"/>
      <c r="AP270" s="310"/>
      <c r="AQ270" s="311"/>
      <c r="AR270" s="306"/>
      <c r="AS270" s="310"/>
      <c r="AT270" s="311"/>
      <c r="AU270" s="306"/>
      <c r="AV270" s="310"/>
      <c r="AW270" s="311"/>
      <c r="AX270" s="306"/>
      <c r="AY270" s="310"/>
      <c r="AZ270" s="311"/>
      <c r="BA270" s="306"/>
      <c r="BB270" s="310"/>
      <c r="BC270" s="311"/>
      <c r="BD270" s="306"/>
      <c r="BE270" s="312"/>
      <c r="BF270" s="312"/>
      <c r="BG270" s="312"/>
      <c r="BH270" s="312"/>
      <c r="BI270" s="312"/>
      <c r="BJ270" s="312"/>
      <c r="BK270" s="312"/>
      <c r="BL270" s="312"/>
      <c r="BM270" s="312"/>
      <c r="BN270" s="312"/>
      <c r="BO270" s="312"/>
      <c r="BP270" s="312"/>
      <c r="BQ270" s="312"/>
      <c r="BR270" s="312"/>
      <c r="BS270" s="312"/>
      <c r="BT270" s="312"/>
      <c r="BU270" s="312"/>
      <c r="BV270" s="312"/>
      <c r="BW270" s="312"/>
      <c r="BX270" s="312"/>
      <c r="BY270" s="312"/>
      <c r="BZ270" s="312"/>
      <c r="CA270" s="312"/>
      <c r="CB270" s="312"/>
      <c r="CC270" s="312"/>
      <c r="CD270" s="312"/>
      <c r="CE270" s="312"/>
      <c r="CF270" s="312"/>
      <c r="CG270" s="312"/>
      <c r="CH270" s="312"/>
      <c r="CI270" s="312"/>
      <c r="CJ270" s="312"/>
      <c r="CK270" s="312"/>
      <c r="CL270" s="312"/>
      <c r="CM270" s="312"/>
      <c r="CN270" s="312"/>
      <c r="CO270" s="312"/>
      <c r="CP270" s="312"/>
      <c r="CQ270" s="312"/>
      <c r="CR270" s="312"/>
    </row>
    <row r="271" spans="1:96" s="300" customFormat="1" ht="15.75" customHeight="1">
      <c r="A271" s="313"/>
      <c r="B271" s="305" t="s">
        <v>63</v>
      </c>
      <c r="C271" s="311"/>
      <c r="D271" s="311"/>
      <c r="E271" s="306">
        <f t="shared" si="51"/>
        <v>0</v>
      </c>
      <c r="F271" s="310"/>
      <c r="G271" s="311"/>
      <c r="H271" s="306">
        <f t="shared" si="52"/>
        <v>0</v>
      </c>
      <c r="I271" s="310"/>
      <c r="J271" s="311"/>
      <c r="K271" s="306"/>
      <c r="L271" s="310"/>
      <c r="M271" s="311"/>
      <c r="N271" s="306"/>
      <c r="O271" s="310"/>
      <c r="P271" s="311"/>
      <c r="Q271" s="306"/>
      <c r="R271" s="310"/>
      <c r="S271" s="311"/>
      <c r="T271" s="306"/>
      <c r="U271" s="310"/>
      <c r="V271" s="311"/>
      <c r="W271" s="306"/>
      <c r="X271" s="310"/>
      <c r="Y271" s="311"/>
      <c r="Z271" s="306"/>
      <c r="AA271" s="310"/>
      <c r="AB271" s="311"/>
      <c r="AC271" s="306"/>
      <c r="AD271" s="310"/>
      <c r="AE271" s="311"/>
      <c r="AF271" s="306"/>
      <c r="AG271" s="310"/>
      <c r="AH271" s="311"/>
      <c r="AI271" s="306"/>
      <c r="AJ271" s="310"/>
      <c r="AK271" s="311"/>
      <c r="AL271" s="306"/>
      <c r="AM271" s="310"/>
      <c r="AN271" s="311"/>
      <c r="AO271" s="306"/>
      <c r="AP271" s="310"/>
      <c r="AQ271" s="311"/>
      <c r="AR271" s="306"/>
      <c r="AS271" s="310"/>
      <c r="AT271" s="311"/>
      <c r="AU271" s="306"/>
      <c r="AV271" s="310"/>
      <c r="AW271" s="311"/>
      <c r="AX271" s="306"/>
      <c r="AY271" s="310"/>
      <c r="AZ271" s="311"/>
      <c r="BA271" s="306"/>
      <c r="BB271" s="310"/>
      <c r="BC271" s="311"/>
      <c r="BD271" s="306"/>
      <c r="BE271" s="312"/>
      <c r="BF271" s="312"/>
      <c r="BG271" s="312"/>
      <c r="BH271" s="312"/>
      <c r="BI271" s="312"/>
      <c r="BJ271" s="312"/>
      <c r="BK271" s="312"/>
      <c r="BL271" s="312"/>
      <c r="BM271" s="312"/>
      <c r="BN271" s="312"/>
      <c r="BO271" s="312"/>
      <c r="BP271" s="312"/>
      <c r="BQ271" s="312"/>
      <c r="BR271" s="312"/>
      <c r="BS271" s="312"/>
      <c r="BT271" s="312"/>
      <c r="BU271" s="312"/>
      <c r="BV271" s="312"/>
      <c r="BW271" s="312"/>
      <c r="BX271" s="312"/>
      <c r="BY271" s="312"/>
      <c r="BZ271" s="312"/>
      <c r="CA271" s="312"/>
      <c r="CB271" s="312"/>
      <c r="CC271" s="312"/>
      <c r="CD271" s="312"/>
      <c r="CE271" s="312"/>
      <c r="CF271" s="312"/>
      <c r="CG271" s="312"/>
      <c r="CH271" s="312"/>
      <c r="CI271" s="312"/>
      <c r="CJ271" s="312"/>
      <c r="CK271" s="312"/>
      <c r="CL271" s="312"/>
      <c r="CM271" s="312"/>
      <c r="CN271" s="312"/>
      <c r="CO271" s="312"/>
      <c r="CP271" s="312"/>
      <c r="CQ271" s="312"/>
      <c r="CR271" s="312"/>
    </row>
    <row r="272" spans="1:96" s="300" customFormat="1" ht="15.75" customHeight="1">
      <c r="A272" s="313"/>
      <c r="B272" s="305" t="s">
        <v>64</v>
      </c>
      <c r="C272" s="311"/>
      <c r="D272" s="311"/>
      <c r="E272" s="306">
        <f t="shared" si="51"/>
        <v>0</v>
      </c>
      <c r="F272" s="310"/>
      <c r="G272" s="311"/>
      <c r="H272" s="306">
        <f t="shared" si="52"/>
        <v>0</v>
      </c>
      <c r="I272" s="310"/>
      <c r="J272" s="311"/>
      <c r="K272" s="306"/>
      <c r="L272" s="310"/>
      <c r="M272" s="311"/>
      <c r="N272" s="306"/>
      <c r="O272" s="310"/>
      <c r="P272" s="311"/>
      <c r="Q272" s="306"/>
      <c r="R272" s="310"/>
      <c r="S272" s="311"/>
      <c r="T272" s="306"/>
      <c r="U272" s="310"/>
      <c r="V272" s="311"/>
      <c r="W272" s="306"/>
      <c r="X272" s="310"/>
      <c r="Y272" s="311"/>
      <c r="Z272" s="306"/>
      <c r="AA272" s="310"/>
      <c r="AB272" s="311"/>
      <c r="AC272" s="306"/>
      <c r="AD272" s="310"/>
      <c r="AE272" s="311"/>
      <c r="AF272" s="306"/>
      <c r="AG272" s="310"/>
      <c r="AH272" s="311"/>
      <c r="AI272" s="306"/>
      <c r="AJ272" s="310"/>
      <c r="AK272" s="311"/>
      <c r="AL272" s="306"/>
      <c r="AM272" s="310"/>
      <c r="AN272" s="311"/>
      <c r="AO272" s="306"/>
      <c r="AP272" s="310"/>
      <c r="AQ272" s="311"/>
      <c r="AR272" s="306"/>
      <c r="AS272" s="310"/>
      <c r="AT272" s="311"/>
      <c r="AU272" s="306"/>
      <c r="AV272" s="310"/>
      <c r="AW272" s="311"/>
      <c r="AX272" s="306"/>
      <c r="AY272" s="310"/>
      <c r="AZ272" s="311"/>
      <c r="BA272" s="306"/>
      <c r="BB272" s="310"/>
      <c r="BC272" s="311"/>
      <c r="BD272" s="306"/>
      <c r="BE272" s="312"/>
      <c r="BF272" s="312"/>
      <c r="BG272" s="312"/>
      <c r="BH272" s="312"/>
      <c r="BI272" s="312"/>
      <c r="BJ272" s="312"/>
      <c r="BK272" s="312"/>
      <c r="BL272" s="312"/>
      <c r="BM272" s="312"/>
      <c r="BN272" s="312"/>
      <c r="BO272" s="312"/>
      <c r="BP272" s="312"/>
      <c r="BQ272" s="312"/>
      <c r="BR272" s="312"/>
      <c r="BS272" s="312"/>
      <c r="BT272" s="312"/>
      <c r="BU272" s="312"/>
      <c r="BV272" s="312"/>
      <c r="BW272" s="312"/>
      <c r="BX272" s="312"/>
      <c r="BY272" s="312"/>
      <c r="BZ272" s="312"/>
      <c r="CA272" s="312"/>
      <c r="CB272" s="312"/>
      <c r="CC272" s="312"/>
      <c r="CD272" s="312"/>
      <c r="CE272" s="312"/>
      <c r="CF272" s="312"/>
      <c r="CG272" s="312"/>
      <c r="CH272" s="312"/>
      <c r="CI272" s="312"/>
      <c r="CJ272" s="312"/>
      <c r="CK272" s="312"/>
      <c r="CL272" s="312"/>
      <c r="CM272" s="312"/>
      <c r="CN272" s="312"/>
      <c r="CO272" s="312"/>
      <c r="CP272" s="312"/>
      <c r="CQ272" s="312"/>
      <c r="CR272" s="312"/>
    </row>
    <row r="273" spans="1:96" s="300" customFormat="1" ht="15.75" customHeight="1" thickBot="1">
      <c r="A273" s="313"/>
      <c r="B273" s="305" t="s">
        <v>970</v>
      </c>
      <c r="C273" s="311"/>
      <c r="D273" s="311"/>
      <c r="E273" s="306">
        <f t="shared" si="51"/>
        <v>0</v>
      </c>
      <c r="F273" s="310"/>
      <c r="G273" s="311"/>
      <c r="H273" s="306">
        <f t="shared" si="52"/>
        <v>0</v>
      </c>
      <c r="I273" s="310"/>
      <c r="J273" s="311"/>
      <c r="K273" s="306"/>
      <c r="L273" s="310"/>
      <c r="M273" s="311"/>
      <c r="N273" s="306"/>
      <c r="O273" s="310"/>
      <c r="P273" s="311"/>
      <c r="Q273" s="306"/>
      <c r="R273" s="310"/>
      <c r="S273" s="311"/>
      <c r="T273" s="306"/>
      <c r="U273" s="310"/>
      <c r="V273" s="311"/>
      <c r="W273" s="306"/>
      <c r="X273" s="310"/>
      <c r="Y273" s="311"/>
      <c r="Z273" s="306"/>
      <c r="AA273" s="310"/>
      <c r="AB273" s="311"/>
      <c r="AC273" s="306"/>
      <c r="AD273" s="310"/>
      <c r="AE273" s="311"/>
      <c r="AF273" s="306"/>
      <c r="AG273" s="310"/>
      <c r="AH273" s="311"/>
      <c r="AI273" s="306"/>
      <c r="AJ273" s="310"/>
      <c r="AK273" s="311"/>
      <c r="AL273" s="306"/>
      <c r="AM273" s="310"/>
      <c r="AN273" s="311"/>
      <c r="AO273" s="306"/>
      <c r="AP273" s="310"/>
      <c r="AQ273" s="311"/>
      <c r="AR273" s="306"/>
      <c r="AS273" s="310"/>
      <c r="AT273" s="311"/>
      <c r="AU273" s="306"/>
      <c r="AV273" s="310"/>
      <c r="AW273" s="311"/>
      <c r="AX273" s="306"/>
      <c r="AY273" s="310"/>
      <c r="AZ273" s="311"/>
      <c r="BA273" s="306"/>
      <c r="BB273" s="310"/>
      <c r="BC273" s="311"/>
      <c r="BD273" s="306"/>
      <c r="BE273" s="312"/>
      <c r="BF273" s="312"/>
      <c r="BG273" s="312"/>
      <c r="BH273" s="312"/>
      <c r="BI273" s="312"/>
      <c r="BJ273" s="312"/>
      <c r="BK273" s="312"/>
      <c r="BL273" s="312"/>
      <c r="BM273" s="312"/>
      <c r="BN273" s="312"/>
      <c r="BO273" s="312"/>
      <c r="BP273" s="312"/>
      <c r="BQ273" s="312"/>
      <c r="BR273" s="312"/>
      <c r="BS273" s="312"/>
      <c r="BT273" s="312"/>
      <c r="BU273" s="312"/>
      <c r="BV273" s="312"/>
      <c r="BW273" s="312"/>
      <c r="BX273" s="312"/>
      <c r="BY273" s="312"/>
      <c r="BZ273" s="312"/>
      <c r="CA273" s="312"/>
      <c r="CB273" s="312"/>
      <c r="CC273" s="312"/>
      <c r="CD273" s="312"/>
      <c r="CE273" s="312"/>
      <c r="CF273" s="312"/>
      <c r="CG273" s="312"/>
      <c r="CH273" s="312"/>
      <c r="CI273" s="312"/>
      <c r="CJ273" s="312"/>
      <c r="CK273" s="312"/>
      <c r="CL273" s="312"/>
      <c r="CM273" s="312"/>
      <c r="CN273" s="312"/>
      <c r="CO273" s="312"/>
      <c r="CP273" s="312"/>
      <c r="CQ273" s="312"/>
      <c r="CR273" s="312"/>
    </row>
    <row r="274" spans="1:96" s="321" customFormat="1" ht="15.75" customHeight="1">
      <c r="A274" s="314"/>
      <c r="B274" s="315"/>
      <c r="C274" s="317"/>
      <c r="D274" s="317"/>
      <c r="E274" s="318">
        <f t="shared" si="51"/>
        <v>0</v>
      </c>
      <c r="F274" s="316"/>
      <c r="G274" s="317"/>
      <c r="H274" s="318">
        <f t="shared" si="52"/>
        <v>0</v>
      </c>
      <c r="I274" s="316"/>
      <c r="J274" s="317"/>
      <c r="K274" s="318"/>
      <c r="L274" s="316"/>
      <c r="M274" s="317"/>
      <c r="N274" s="318"/>
      <c r="O274" s="316">
        <v>7404</v>
      </c>
      <c r="P274" s="317">
        <v>8106</v>
      </c>
      <c r="Q274" s="318">
        <f>IF(O274&gt;0,(((P274-O274)/O274)*100),0)</f>
        <v>9.481361426256079</v>
      </c>
      <c r="R274" s="316">
        <v>17326</v>
      </c>
      <c r="S274" s="317">
        <v>19342</v>
      </c>
      <c r="T274" s="318">
        <f>IF(R274&gt;0,(((S274-R274)/R274)*100),0)</f>
        <v>11.635692023548424</v>
      </c>
      <c r="U274" s="316">
        <v>13072</v>
      </c>
      <c r="V274" s="317">
        <v>15022</v>
      </c>
      <c r="W274" s="318">
        <f>IF(U274&gt;0,(((V274-U274)/U274)*100),0)</f>
        <v>14.917380660954713</v>
      </c>
      <c r="X274" s="316">
        <v>31857</v>
      </c>
      <c r="Y274" s="317">
        <v>36518</v>
      </c>
      <c r="Z274" s="318">
        <f>IF(X274&gt;0,(((Y274-X274)/X274)*100),0)</f>
        <v>14.631007313934145</v>
      </c>
      <c r="AA274" s="316">
        <v>8932</v>
      </c>
      <c r="AB274" s="317">
        <v>10094</v>
      </c>
      <c r="AC274" s="318">
        <f>IF(AA274&gt;0,(((AB274-AA274)/AA274)*100),0)</f>
        <v>13.009404388714735</v>
      </c>
      <c r="AD274" s="336">
        <v>20538</v>
      </c>
      <c r="AE274" s="337">
        <v>24030</v>
      </c>
      <c r="AF274" s="338">
        <f>IF(AD274&gt;0,(((AE274-AD274)/AD274)*100),0)</f>
        <v>17.002629272567923</v>
      </c>
      <c r="AG274" s="316">
        <v>7336</v>
      </c>
      <c r="AH274" s="317">
        <v>8032</v>
      </c>
      <c r="AI274" s="318">
        <f>IF(AG274&gt;0,(((AH274-AG274)/AG274)*100),0)</f>
        <v>9.487459105779717</v>
      </c>
      <c r="AJ274" s="316">
        <v>19844</v>
      </c>
      <c r="AK274" s="317">
        <v>20940</v>
      </c>
      <c r="AL274" s="318">
        <f>IF(AJ274&gt;0,(((AK274-AJ274)/AJ274)*100),0)</f>
        <v>5.523080024188672</v>
      </c>
      <c r="AM274" s="316"/>
      <c r="AN274" s="317"/>
      <c r="AO274" s="318"/>
      <c r="AP274" s="316"/>
      <c r="AQ274" s="317"/>
      <c r="AR274" s="318">
        <f>IF(AP274&gt;0,(((AQ274-AP274)/AP274)*100),0)</f>
        <v>0</v>
      </c>
      <c r="AS274" s="316">
        <v>15272</v>
      </c>
      <c r="AT274" s="317">
        <v>16418</v>
      </c>
      <c r="AU274" s="318">
        <f>IF(AS274&gt;0,(((AT274-AS274)/AS274)*100),0)</f>
        <v>7.50392875851231</v>
      </c>
      <c r="AV274" s="316">
        <v>37794</v>
      </c>
      <c r="AW274" s="317">
        <v>40630</v>
      </c>
      <c r="AX274" s="318">
        <f>IF(AV274&gt;0,(((AW274-AV274)/AV274)*100),0)</f>
        <v>7.503836587818172</v>
      </c>
      <c r="AY274" s="316"/>
      <c r="AZ274" s="317"/>
      <c r="BA274" s="318"/>
      <c r="BB274" s="316"/>
      <c r="BC274" s="317"/>
      <c r="BD274" s="318"/>
      <c r="BE274" s="320"/>
      <c r="BF274" s="320"/>
      <c r="BG274" s="320"/>
      <c r="BH274" s="320"/>
      <c r="BI274" s="320"/>
      <c r="BJ274" s="320"/>
      <c r="BK274" s="320"/>
      <c r="BL274" s="320"/>
      <c r="BM274" s="320"/>
      <c r="BN274" s="320"/>
      <c r="BO274" s="320"/>
      <c r="BP274" s="320"/>
      <c r="BQ274" s="320"/>
      <c r="BR274" s="320"/>
      <c r="BS274" s="320"/>
      <c r="BT274" s="320"/>
      <c r="BU274" s="320"/>
      <c r="BV274" s="320"/>
      <c r="BW274" s="320"/>
      <c r="BX274" s="320"/>
      <c r="BY274" s="320"/>
      <c r="BZ274" s="320"/>
      <c r="CA274" s="320"/>
      <c r="CB274" s="320"/>
      <c r="CC274" s="320"/>
      <c r="CD274" s="320"/>
      <c r="CE274" s="320"/>
      <c r="CF274" s="320"/>
      <c r="CG274" s="320"/>
      <c r="CH274" s="320"/>
      <c r="CI274" s="320"/>
      <c r="CJ274" s="320"/>
      <c r="CK274" s="320"/>
      <c r="CL274" s="320"/>
      <c r="CM274" s="320"/>
      <c r="CN274" s="320"/>
      <c r="CO274" s="320"/>
      <c r="CP274" s="320"/>
      <c r="CQ274" s="320"/>
      <c r="CR274" s="320"/>
    </row>
    <row r="275" spans="1:96" s="300" customFormat="1" ht="15.75" customHeight="1">
      <c r="A275" s="304" t="s">
        <v>1042</v>
      </c>
      <c r="B275" s="305" t="s">
        <v>665</v>
      </c>
      <c r="C275" s="311">
        <v>4426</v>
      </c>
      <c r="D275" s="311">
        <v>4749</v>
      </c>
      <c r="E275" s="306">
        <f t="shared" si="51"/>
        <v>7.297785811116133</v>
      </c>
      <c r="F275" s="311">
        <v>12886</v>
      </c>
      <c r="G275" s="311">
        <v>14431.5</v>
      </c>
      <c r="H275" s="306">
        <f t="shared" si="52"/>
        <v>11.99363650473382</v>
      </c>
      <c r="I275" s="311">
        <v>4720</v>
      </c>
      <c r="J275" s="311">
        <v>5377</v>
      </c>
      <c r="K275" s="306">
        <f aca="true" t="shared" si="53" ref="K275:K281">IF(I275&gt;0,(((J275-I275)/I275)*100),0)</f>
        <v>13.91949152542373</v>
      </c>
      <c r="L275" s="311">
        <v>12886</v>
      </c>
      <c r="M275" s="311">
        <v>14048</v>
      </c>
      <c r="N275" s="306">
        <f aca="true" t="shared" si="54" ref="N275:N281">IF(L275&gt;0,(((M275-L275)/L275)*100),0)</f>
        <v>9.0175384137824</v>
      </c>
      <c r="O275" s="311"/>
      <c r="P275" s="311"/>
      <c r="Q275" s="306"/>
      <c r="R275" s="310"/>
      <c r="S275" s="311"/>
      <c r="T275" s="306">
        <f aca="true" t="shared" si="55" ref="T275:T281">IF(R275&gt;0,(((S275-R275)/R275)*100),0)</f>
        <v>0</v>
      </c>
      <c r="U275" s="310"/>
      <c r="V275" s="311"/>
      <c r="W275" s="306">
        <f aca="true" t="shared" si="56" ref="W275:W281">IF(U275&gt;0,(((V275-U275)/U275)*100),0)</f>
        <v>0</v>
      </c>
      <c r="X275" s="310"/>
      <c r="Y275" s="311"/>
      <c r="Z275" s="306">
        <f aca="true" t="shared" si="57" ref="Z275:Z281">IF(X275&gt;0,(((Y275-X275)/X275)*100),0)</f>
        <v>0</v>
      </c>
      <c r="AA275" s="310"/>
      <c r="AB275" s="311"/>
      <c r="AC275" s="306">
        <f aca="true" t="shared" si="58" ref="AC275:AC281">IF(AA275&gt;0,(((AB275-AA275)/AA275)*100),0)</f>
        <v>0</v>
      </c>
      <c r="AD275" s="311"/>
      <c r="AE275" s="311"/>
      <c r="AF275" s="306">
        <f aca="true" t="shared" si="59" ref="AF275:AF281">IF(AD275&gt;0,(((AE275-AD275)/AD275)*100),0)</f>
        <v>0</v>
      </c>
      <c r="AG275" s="310"/>
      <c r="AH275" s="311"/>
      <c r="AI275" s="306">
        <f aca="true" t="shared" si="60" ref="AI275:AI281">IF(AG275&gt;0,(((AH275-AG275)/AG275)*100),0)</f>
        <v>0</v>
      </c>
      <c r="AJ275" s="310"/>
      <c r="AK275" s="311"/>
      <c r="AL275" s="306">
        <f aca="true" t="shared" si="61" ref="AL275:AL281">IF(AJ275&gt;0,(((AK275-AJ275)/AJ275)*100),0)</f>
        <v>0</v>
      </c>
      <c r="AM275" s="310"/>
      <c r="AN275" s="311"/>
      <c r="AO275" s="306">
        <f aca="true" t="shared" si="62" ref="AO275:AO281">IF(AM275&gt;0,(((AN275-AM275)/AM275)*100),0)</f>
        <v>0</v>
      </c>
      <c r="AP275" s="310"/>
      <c r="AQ275" s="311"/>
      <c r="AR275" s="306">
        <f aca="true" t="shared" si="63" ref="AR275:AR281">IF(AP275&gt;0,(((AQ275-AP275)/AP275)*100),0)</f>
        <v>0</v>
      </c>
      <c r="AS275" s="310"/>
      <c r="AT275" s="311"/>
      <c r="AU275" s="306">
        <f aca="true" t="shared" si="64" ref="AU275:AU281">IF(AS275&gt;0,(((AT275-AS275)/AS275)*100),0)</f>
        <v>0</v>
      </c>
      <c r="AV275" s="310"/>
      <c r="AW275" s="311"/>
      <c r="AX275" s="306">
        <f aca="true" t="shared" si="65" ref="AX275:AX281">IF(AV275&gt;0,(((AW275-AV275)/AV275)*100),0)</f>
        <v>0</v>
      </c>
      <c r="AY275" s="310"/>
      <c r="AZ275" s="311"/>
      <c r="BA275" s="306">
        <f aca="true" t="shared" si="66" ref="BA275:BA281">IF(AY275&gt;0,(((AZ275-AY275)/AY275)*100),0)</f>
        <v>0</v>
      </c>
      <c r="BB275" s="310"/>
      <c r="BC275" s="311"/>
      <c r="BD275" s="306">
        <f aca="true" t="shared" si="67" ref="BD275:BD281">IF(BB275&gt;0,(((BC275-BB275)/BB275)*100),0)</f>
        <v>0</v>
      </c>
      <c r="BE275" s="312"/>
      <c r="BF275" s="312"/>
      <c r="BG275" s="312"/>
      <c r="BH275" s="312"/>
      <c r="BI275" s="312"/>
      <c r="BJ275" s="312"/>
      <c r="BK275" s="312"/>
      <c r="BL275" s="312"/>
      <c r="BM275" s="312"/>
      <c r="BN275" s="312"/>
      <c r="BO275" s="312"/>
      <c r="BP275" s="312"/>
      <c r="BQ275" s="312"/>
      <c r="BR275" s="312"/>
      <c r="BS275" s="312"/>
      <c r="BT275" s="312"/>
      <c r="BU275" s="312"/>
      <c r="BV275" s="312"/>
      <c r="BW275" s="312"/>
      <c r="BX275" s="312"/>
      <c r="BY275" s="312"/>
      <c r="BZ275" s="312"/>
      <c r="CA275" s="312"/>
      <c r="CB275" s="312"/>
      <c r="CC275" s="312"/>
      <c r="CD275" s="312"/>
      <c r="CE275" s="312"/>
      <c r="CF275" s="312"/>
      <c r="CG275" s="312"/>
      <c r="CH275" s="312"/>
      <c r="CI275" s="312"/>
      <c r="CJ275" s="312"/>
      <c r="CK275" s="312"/>
      <c r="CL275" s="312"/>
      <c r="CM275" s="312"/>
      <c r="CN275" s="312"/>
      <c r="CO275" s="312"/>
      <c r="CP275" s="312"/>
      <c r="CQ275" s="312"/>
      <c r="CR275" s="312"/>
    </row>
    <row r="276" spans="1:96" s="300" customFormat="1" ht="15.75" customHeight="1">
      <c r="A276" s="313"/>
      <c r="B276" s="305" t="s">
        <v>666</v>
      </c>
      <c r="C276" s="311">
        <v>4105.91</v>
      </c>
      <c r="D276" s="311">
        <v>4379</v>
      </c>
      <c r="E276" s="306">
        <f t="shared" si="51"/>
        <v>6.651144326105545</v>
      </c>
      <c r="F276" s="311">
        <v>13937.4</v>
      </c>
      <c r="G276" s="311">
        <v>14545.5</v>
      </c>
      <c r="H276" s="306">
        <f t="shared" si="52"/>
        <v>4.363080631968662</v>
      </c>
      <c r="I276" s="311">
        <v>4999.34</v>
      </c>
      <c r="J276" s="311">
        <v>5521.2</v>
      </c>
      <c r="K276" s="306">
        <f t="shared" si="53"/>
        <v>10.438577892281774</v>
      </c>
      <c r="L276" s="311">
        <v>13760.5</v>
      </c>
      <c r="M276" s="311">
        <v>14826.5</v>
      </c>
      <c r="N276" s="306">
        <f t="shared" si="54"/>
        <v>7.7468115257439765</v>
      </c>
      <c r="O276" s="311"/>
      <c r="P276" s="311"/>
      <c r="Q276" s="306"/>
      <c r="R276" s="310"/>
      <c r="S276" s="311"/>
      <c r="T276" s="306">
        <f t="shared" si="55"/>
        <v>0</v>
      </c>
      <c r="U276" s="310"/>
      <c r="V276" s="311"/>
      <c r="W276" s="306">
        <f t="shared" si="56"/>
        <v>0</v>
      </c>
      <c r="X276" s="310"/>
      <c r="Y276" s="311"/>
      <c r="Z276" s="306">
        <f t="shared" si="57"/>
        <v>0</v>
      </c>
      <c r="AA276" s="310"/>
      <c r="AB276" s="311"/>
      <c r="AC276" s="306">
        <f t="shared" si="58"/>
        <v>0</v>
      </c>
      <c r="AD276" s="311"/>
      <c r="AE276" s="311"/>
      <c r="AF276" s="306">
        <f t="shared" si="59"/>
        <v>0</v>
      </c>
      <c r="AG276" s="310"/>
      <c r="AH276" s="311"/>
      <c r="AI276" s="306">
        <f t="shared" si="60"/>
        <v>0</v>
      </c>
      <c r="AJ276" s="310"/>
      <c r="AK276" s="311"/>
      <c r="AL276" s="306">
        <f t="shared" si="61"/>
        <v>0</v>
      </c>
      <c r="AM276" s="310"/>
      <c r="AN276" s="311"/>
      <c r="AO276" s="306">
        <f t="shared" si="62"/>
        <v>0</v>
      </c>
      <c r="AP276" s="310"/>
      <c r="AQ276" s="311"/>
      <c r="AR276" s="306">
        <f t="shared" si="63"/>
        <v>0</v>
      </c>
      <c r="AS276" s="310"/>
      <c r="AT276" s="311"/>
      <c r="AU276" s="306">
        <f t="shared" si="64"/>
        <v>0</v>
      </c>
      <c r="AV276" s="310"/>
      <c r="AW276" s="311"/>
      <c r="AX276" s="306">
        <f t="shared" si="65"/>
        <v>0</v>
      </c>
      <c r="AY276" s="310"/>
      <c r="AZ276" s="311"/>
      <c r="BA276" s="306">
        <f t="shared" si="66"/>
        <v>0</v>
      </c>
      <c r="BB276" s="310"/>
      <c r="BC276" s="311"/>
      <c r="BD276" s="306">
        <f t="shared" si="67"/>
        <v>0</v>
      </c>
      <c r="BE276" s="312"/>
      <c r="BF276" s="312"/>
      <c r="BG276" s="312"/>
      <c r="BH276" s="312"/>
      <c r="BI276" s="312"/>
      <c r="BJ276" s="312"/>
      <c r="BK276" s="312"/>
      <c r="BL276" s="312"/>
      <c r="BM276" s="312"/>
      <c r="BN276" s="312"/>
      <c r="BO276" s="312"/>
      <c r="BP276" s="312"/>
      <c r="BQ276" s="312"/>
      <c r="BR276" s="312"/>
      <c r="BS276" s="312"/>
      <c r="BT276" s="312"/>
      <c r="BU276" s="312"/>
      <c r="BV276" s="312"/>
      <c r="BW276" s="312"/>
      <c r="BX276" s="312"/>
      <c r="BY276" s="312"/>
      <c r="BZ276" s="312"/>
      <c r="CA276" s="312"/>
      <c r="CB276" s="312"/>
      <c r="CC276" s="312"/>
      <c r="CD276" s="312"/>
      <c r="CE276" s="312"/>
      <c r="CF276" s="312"/>
      <c r="CG276" s="312"/>
      <c r="CH276" s="312"/>
      <c r="CI276" s="312"/>
      <c r="CJ276" s="312"/>
      <c r="CK276" s="312"/>
      <c r="CL276" s="312"/>
      <c r="CM276" s="312"/>
      <c r="CN276" s="312"/>
      <c r="CO276" s="312"/>
      <c r="CP276" s="312"/>
      <c r="CQ276" s="312"/>
      <c r="CR276" s="312"/>
    </row>
    <row r="277" spans="1:96" s="300" customFormat="1" ht="15.75" customHeight="1">
      <c r="A277" s="313"/>
      <c r="B277" s="305" t="s">
        <v>667</v>
      </c>
      <c r="C277" s="311">
        <v>3618</v>
      </c>
      <c r="D277" s="311">
        <v>3996</v>
      </c>
      <c r="E277" s="306">
        <f t="shared" si="51"/>
        <v>10.44776119402985</v>
      </c>
      <c r="F277" s="311">
        <v>10150</v>
      </c>
      <c r="G277" s="311">
        <v>11984</v>
      </c>
      <c r="H277" s="306">
        <f t="shared" si="52"/>
        <v>18.068965517241377</v>
      </c>
      <c r="I277" s="311">
        <v>3324</v>
      </c>
      <c r="J277" s="311">
        <v>4063</v>
      </c>
      <c r="K277" s="306">
        <f t="shared" si="53"/>
        <v>22.23225030084236</v>
      </c>
      <c r="L277" s="311">
        <v>9440.5</v>
      </c>
      <c r="M277" s="311">
        <v>10786.9</v>
      </c>
      <c r="N277" s="306">
        <f t="shared" si="54"/>
        <v>14.261956464170325</v>
      </c>
      <c r="O277" s="311"/>
      <c r="P277" s="311"/>
      <c r="Q277" s="306"/>
      <c r="R277" s="310"/>
      <c r="S277" s="311"/>
      <c r="T277" s="306">
        <f t="shared" si="55"/>
        <v>0</v>
      </c>
      <c r="U277" s="310"/>
      <c r="V277" s="311"/>
      <c r="W277" s="306">
        <f t="shared" si="56"/>
        <v>0</v>
      </c>
      <c r="X277" s="310"/>
      <c r="Y277" s="311"/>
      <c r="Z277" s="306">
        <f t="shared" si="57"/>
        <v>0</v>
      </c>
      <c r="AA277" s="310"/>
      <c r="AB277" s="311"/>
      <c r="AC277" s="306">
        <f t="shared" si="58"/>
        <v>0</v>
      </c>
      <c r="AD277" s="311"/>
      <c r="AE277" s="311"/>
      <c r="AF277" s="306">
        <f t="shared" si="59"/>
        <v>0</v>
      </c>
      <c r="AG277" s="310"/>
      <c r="AH277" s="311"/>
      <c r="AI277" s="306">
        <f t="shared" si="60"/>
        <v>0</v>
      </c>
      <c r="AJ277" s="310"/>
      <c r="AK277" s="311"/>
      <c r="AL277" s="306">
        <f t="shared" si="61"/>
        <v>0</v>
      </c>
      <c r="AM277" s="310"/>
      <c r="AN277" s="311"/>
      <c r="AO277" s="306">
        <f t="shared" si="62"/>
        <v>0</v>
      </c>
      <c r="AP277" s="310"/>
      <c r="AQ277" s="311"/>
      <c r="AR277" s="306">
        <f t="shared" si="63"/>
        <v>0</v>
      </c>
      <c r="AS277" s="310"/>
      <c r="AT277" s="311"/>
      <c r="AU277" s="306">
        <f t="shared" si="64"/>
        <v>0</v>
      </c>
      <c r="AV277" s="310"/>
      <c r="AW277" s="311"/>
      <c r="AX277" s="306">
        <f t="shared" si="65"/>
        <v>0</v>
      </c>
      <c r="AY277" s="310"/>
      <c r="AZ277" s="311"/>
      <c r="BA277" s="306">
        <f t="shared" si="66"/>
        <v>0</v>
      </c>
      <c r="BB277" s="310"/>
      <c r="BC277" s="311"/>
      <c r="BD277" s="306">
        <f t="shared" si="67"/>
        <v>0</v>
      </c>
      <c r="BE277" s="312"/>
      <c r="BF277" s="312"/>
      <c r="BG277" s="312"/>
      <c r="BH277" s="312"/>
      <c r="BI277" s="312"/>
      <c r="BJ277" s="312"/>
      <c r="BK277" s="312"/>
      <c r="BL277" s="312"/>
      <c r="BM277" s="312"/>
      <c r="BN277" s="312"/>
      <c r="BO277" s="312"/>
      <c r="BP277" s="312"/>
      <c r="BQ277" s="312"/>
      <c r="BR277" s="312"/>
      <c r="BS277" s="312"/>
      <c r="BT277" s="312"/>
      <c r="BU277" s="312"/>
      <c r="BV277" s="312"/>
      <c r="BW277" s="312"/>
      <c r="BX277" s="312"/>
      <c r="BY277" s="312"/>
      <c r="BZ277" s="312"/>
      <c r="CA277" s="312"/>
      <c r="CB277" s="312"/>
      <c r="CC277" s="312"/>
      <c r="CD277" s="312"/>
      <c r="CE277" s="312"/>
      <c r="CF277" s="312"/>
      <c r="CG277" s="312"/>
      <c r="CH277" s="312"/>
      <c r="CI277" s="312"/>
      <c r="CJ277" s="312"/>
      <c r="CK277" s="312"/>
      <c r="CL277" s="312"/>
      <c r="CM277" s="312"/>
      <c r="CN277" s="312"/>
      <c r="CO277" s="312"/>
      <c r="CP277" s="312"/>
      <c r="CQ277" s="312"/>
      <c r="CR277" s="312"/>
    </row>
    <row r="278" spans="1:96" s="300" customFormat="1" ht="15.75" customHeight="1">
      <c r="A278" s="313"/>
      <c r="B278" s="305" t="s">
        <v>668</v>
      </c>
      <c r="C278" s="311">
        <v>3591.5</v>
      </c>
      <c r="D278" s="311">
        <v>3869.5</v>
      </c>
      <c r="E278" s="306">
        <f t="shared" si="51"/>
        <v>7.740498398997634</v>
      </c>
      <c r="F278" s="311">
        <v>9516.5</v>
      </c>
      <c r="G278" s="311">
        <v>10927.5</v>
      </c>
      <c r="H278" s="306">
        <f t="shared" si="52"/>
        <v>14.826879630116114</v>
      </c>
      <c r="I278" s="311">
        <v>3944</v>
      </c>
      <c r="J278" s="311">
        <v>4208</v>
      </c>
      <c r="K278" s="306">
        <f t="shared" si="53"/>
        <v>6.693711967545639</v>
      </c>
      <c r="L278" s="311">
        <v>10346</v>
      </c>
      <c r="M278" s="311">
        <v>11140</v>
      </c>
      <c r="N278" s="306">
        <f t="shared" si="54"/>
        <v>7.674463560796443</v>
      </c>
      <c r="O278" s="311"/>
      <c r="P278" s="311"/>
      <c r="Q278" s="306"/>
      <c r="R278" s="310"/>
      <c r="S278" s="311"/>
      <c r="T278" s="306">
        <f t="shared" si="55"/>
        <v>0</v>
      </c>
      <c r="U278" s="310"/>
      <c r="V278" s="311"/>
      <c r="W278" s="306">
        <f t="shared" si="56"/>
        <v>0</v>
      </c>
      <c r="X278" s="310"/>
      <c r="Y278" s="311"/>
      <c r="Z278" s="306">
        <f t="shared" si="57"/>
        <v>0</v>
      </c>
      <c r="AA278" s="310"/>
      <c r="AB278" s="311"/>
      <c r="AC278" s="306">
        <f t="shared" si="58"/>
        <v>0</v>
      </c>
      <c r="AD278" s="311"/>
      <c r="AE278" s="311"/>
      <c r="AF278" s="306">
        <f t="shared" si="59"/>
        <v>0</v>
      </c>
      <c r="AG278" s="310"/>
      <c r="AH278" s="311"/>
      <c r="AI278" s="306">
        <f t="shared" si="60"/>
        <v>0</v>
      </c>
      <c r="AJ278" s="310"/>
      <c r="AK278" s="311"/>
      <c r="AL278" s="306">
        <f t="shared" si="61"/>
        <v>0</v>
      </c>
      <c r="AM278" s="310"/>
      <c r="AN278" s="311"/>
      <c r="AO278" s="306">
        <f t="shared" si="62"/>
        <v>0</v>
      </c>
      <c r="AP278" s="310"/>
      <c r="AQ278" s="311"/>
      <c r="AR278" s="306">
        <f t="shared" si="63"/>
        <v>0</v>
      </c>
      <c r="AS278" s="310"/>
      <c r="AT278" s="311"/>
      <c r="AU278" s="306">
        <f t="shared" si="64"/>
        <v>0</v>
      </c>
      <c r="AV278" s="310"/>
      <c r="AW278" s="311"/>
      <c r="AX278" s="306">
        <f t="shared" si="65"/>
        <v>0</v>
      </c>
      <c r="AY278" s="310"/>
      <c r="AZ278" s="311"/>
      <c r="BA278" s="306">
        <f t="shared" si="66"/>
        <v>0</v>
      </c>
      <c r="BB278" s="310"/>
      <c r="BC278" s="311"/>
      <c r="BD278" s="306">
        <f t="shared" si="67"/>
        <v>0</v>
      </c>
      <c r="BE278" s="312"/>
      <c r="BF278" s="312"/>
      <c r="BG278" s="312"/>
      <c r="BH278" s="312"/>
      <c r="BI278" s="312"/>
      <c r="BJ278" s="312"/>
      <c r="BK278" s="312"/>
      <c r="BL278" s="312"/>
      <c r="BM278" s="312"/>
      <c r="BN278" s="312"/>
      <c r="BO278" s="312"/>
      <c r="BP278" s="312"/>
      <c r="BQ278" s="312"/>
      <c r="BR278" s="312"/>
      <c r="BS278" s="312"/>
      <c r="BT278" s="312"/>
      <c r="BU278" s="312"/>
      <c r="BV278" s="312"/>
      <c r="BW278" s="312"/>
      <c r="BX278" s="312"/>
      <c r="BY278" s="312"/>
      <c r="BZ278" s="312"/>
      <c r="CA278" s="312"/>
      <c r="CB278" s="312"/>
      <c r="CC278" s="312"/>
      <c r="CD278" s="312"/>
      <c r="CE278" s="312"/>
      <c r="CF278" s="312"/>
      <c r="CG278" s="312"/>
      <c r="CH278" s="312"/>
      <c r="CI278" s="312"/>
      <c r="CJ278" s="312"/>
      <c r="CK278" s="312"/>
      <c r="CL278" s="312"/>
      <c r="CM278" s="312"/>
      <c r="CN278" s="312"/>
      <c r="CO278" s="312"/>
      <c r="CP278" s="312"/>
      <c r="CQ278" s="312"/>
      <c r="CR278" s="312"/>
    </row>
    <row r="279" spans="1:96" s="300" customFormat="1" ht="15.75" customHeight="1">
      <c r="A279" s="313"/>
      <c r="B279" s="305" t="s">
        <v>669</v>
      </c>
      <c r="C279" s="311">
        <v>3390.5</v>
      </c>
      <c r="D279" s="311">
        <v>3833</v>
      </c>
      <c r="E279" s="306">
        <f t="shared" si="51"/>
        <v>13.051172393452292</v>
      </c>
      <c r="F279" s="311">
        <v>9121</v>
      </c>
      <c r="G279" s="311">
        <v>9555</v>
      </c>
      <c r="H279" s="306">
        <f t="shared" si="52"/>
        <v>4.758250191864928</v>
      </c>
      <c r="I279" s="311">
        <v>3477</v>
      </c>
      <c r="J279" s="311">
        <v>3967.5</v>
      </c>
      <c r="K279" s="306">
        <f t="shared" si="53"/>
        <v>14.106988783433994</v>
      </c>
      <c r="L279" s="311">
        <v>8126</v>
      </c>
      <c r="M279" s="311">
        <v>9020</v>
      </c>
      <c r="N279" s="306">
        <f t="shared" si="54"/>
        <v>11.001722864878168</v>
      </c>
      <c r="O279" s="311"/>
      <c r="P279" s="311"/>
      <c r="Q279" s="306"/>
      <c r="R279" s="310"/>
      <c r="S279" s="311"/>
      <c r="T279" s="306">
        <f t="shared" si="55"/>
        <v>0</v>
      </c>
      <c r="U279" s="310"/>
      <c r="V279" s="311"/>
      <c r="W279" s="306">
        <f t="shared" si="56"/>
        <v>0</v>
      </c>
      <c r="X279" s="310"/>
      <c r="Y279" s="311"/>
      <c r="Z279" s="306">
        <f t="shared" si="57"/>
        <v>0</v>
      </c>
      <c r="AA279" s="310"/>
      <c r="AB279" s="311"/>
      <c r="AC279" s="306">
        <f t="shared" si="58"/>
        <v>0</v>
      </c>
      <c r="AD279" s="311"/>
      <c r="AE279" s="311"/>
      <c r="AF279" s="306">
        <f t="shared" si="59"/>
        <v>0</v>
      </c>
      <c r="AG279" s="310"/>
      <c r="AH279" s="311"/>
      <c r="AI279" s="306">
        <f t="shared" si="60"/>
        <v>0</v>
      </c>
      <c r="AJ279" s="310"/>
      <c r="AK279" s="311"/>
      <c r="AL279" s="306">
        <f t="shared" si="61"/>
        <v>0</v>
      </c>
      <c r="AM279" s="310"/>
      <c r="AN279" s="311"/>
      <c r="AO279" s="306">
        <f t="shared" si="62"/>
        <v>0</v>
      </c>
      <c r="AP279" s="310"/>
      <c r="AQ279" s="311"/>
      <c r="AR279" s="306">
        <f t="shared" si="63"/>
        <v>0</v>
      </c>
      <c r="AS279" s="310"/>
      <c r="AT279" s="311"/>
      <c r="AU279" s="306">
        <f t="shared" si="64"/>
        <v>0</v>
      </c>
      <c r="AV279" s="310"/>
      <c r="AW279" s="311"/>
      <c r="AX279" s="306">
        <f t="shared" si="65"/>
        <v>0</v>
      </c>
      <c r="AY279" s="310"/>
      <c r="AZ279" s="311"/>
      <c r="BA279" s="306">
        <f t="shared" si="66"/>
        <v>0</v>
      </c>
      <c r="BB279" s="310"/>
      <c r="BC279" s="311"/>
      <c r="BD279" s="306">
        <f t="shared" si="67"/>
        <v>0</v>
      </c>
      <c r="BE279" s="312"/>
      <c r="BF279" s="312"/>
      <c r="BG279" s="312"/>
      <c r="BH279" s="312"/>
      <c r="BI279" s="312"/>
      <c r="BJ279" s="312"/>
      <c r="BK279" s="312"/>
      <c r="BL279" s="312"/>
      <c r="BM279" s="312"/>
      <c r="BN279" s="312"/>
      <c r="BO279" s="312"/>
      <c r="BP279" s="312"/>
      <c r="BQ279" s="312"/>
      <c r="BR279" s="312"/>
      <c r="BS279" s="312"/>
      <c r="BT279" s="312"/>
      <c r="BU279" s="312"/>
      <c r="BV279" s="312"/>
      <c r="BW279" s="312"/>
      <c r="BX279" s="312"/>
      <c r="BY279" s="312"/>
      <c r="BZ279" s="312"/>
      <c r="CA279" s="312"/>
      <c r="CB279" s="312"/>
      <c r="CC279" s="312"/>
      <c r="CD279" s="312"/>
      <c r="CE279" s="312"/>
      <c r="CF279" s="312"/>
      <c r="CG279" s="312"/>
      <c r="CH279" s="312"/>
      <c r="CI279" s="312"/>
      <c r="CJ279" s="312"/>
      <c r="CK279" s="312"/>
      <c r="CL279" s="312"/>
      <c r="CM279" s="312"/>
      <c r="CN279" s="312"/>
      <c r="CO279" s="312"/>
      <c r="CP279" s="312"/>
      <c r="CQ279" s="312"/>
      <c r="CR279" s="312"/>
    </row>
    <row r="280" spans="1:96" s="300" customFormat="1" ht="15.75" customHeight="1">
      <c r="A280" s="313"/>
      <c r="B280" s="305" t="s">
        <v>670</v>
      </c>
      <c r="C280" s="311">
        <v>3198</v>
      </c>
      <c r="D280" s="311">
        <v>3625</v>
      </c>
      <c r="E280" s="306">
        <f t="shared" si="51"/>
        <v>13.352095059412134</v>
      </c>
      <c r="F280" s="311">
        <v>8438</v>
      </c>
      <c r="G280" s="311">
        <v>9486</v>
      </c>
      <c r="H280" s="306">
        <f t="shared" si="52"/>
        <v>12.420004740459825</v>
      </c>
      <c r="I280" s="311">
        <v>3587.5</v>
      </c>
      <c r="J280" s="311">
        <v>3910</v>
      </c>
      <c r="K280" s="306">
        <f t="shared" si="53"/>
        <v>8.989547038327526</v>
      </c>
      <c r="L280" s="311">
        <v>9036</v>
      </c>
      <c r="M280" s="311">
        <v>10031</v>
      </c>
      <c r="N280" s="306">
        <f t="shared" si="54"/>
        <v>11.011509517485612</v>
      </c>
      <c r="O280" s="311"/>
      <c r="P280" s="311"/>
      <c r="Q280" s="306"/>
      <c r="R280" s="310"/>
      <c r="S280" s="311"/>
      <c r="T280" s="306">
        <f t="shared" si="55"/>
        <v>0</v>
      </c>
      <c r="U280" s="310"/>
      <c r="V280" s="311"/>
      <c r="W280" s="306">
        <f t="shared" si="56"/>
        <v>0</v>
      </c>
      <c r="X280" s="310"/>
      <c r="Y280" s="311"/>
      <c r="Z280" s="306">
        <f t="shared" si="57"/>
        <v>0</v>
      </c>
      <c r="AA280" s="310"/>
      <c r="AB280" s="311"/>
      <c r="AC280" s="306">
        <f t="shared" si="58"/>
        <v>0</v>
      </c>
      <c r="AD280" s="311"/>
      <c r="AE280" s="311"/>
      <c r="AF280" s="306">
        <f t="shared" si="59"/>
        <v>0</v>
      </c>
      <c r="AG280" s="310"/>
      <c r="AH280" s="311"/>
      <c r="AI280" s="306">
        <f t="shared" si="60"/>
        <v>0</v>
      </c>
      <c r="AJ280" s="310"/>
      <c r="AK280" s="311"/>
      <c r="AL280" s="306">
        <f t="shared" si="61"/>
        <v>0</v>
      </c>
      <c r="AM280" s="310"/>
      <c r="AN280" s="311"/>
      <c r="AO280" s="306">
        <f t="shared" si="62"/>
        <v>0</v>
      </c>
      <c r="AP280" s="310"/>
      <c r="AQ280" s="311"/>
      <c r="AR280" s="306">
        <f t="shared" si="63"/>
        <v>0</v>
      </c>
      <c r="AS280" s="310"/>
      <c r="AT280" s="311"/>
      <c r="AU280" s="306">
        <f t="shared" si="64"/>
        <v>0</v>
      </c>
      <c r="AV280" s="310"/>
      <c r="AW280" s="311"/>
      <c r="AX280" s="306">
        <f t="shared" si="65"/>
        <v>0</v>
      </c>
      <c r="AY280" s="310"/>
      <c r="AZ280" s="311"/>
      <c r="BA280" s="306">
        <f t="shared" si="66"/>
        <v>0</v>
      </c>
      <c r="BB280" s="310"/>
      <c r="BC280" s="311"/>
      <c r="BD280" s="306">
        <f t="shared" si="67"/>
        <v>0</v>
      </c>
      <c r="BE280" s="312"/>
      <c r="BF280" s="312"/>
      <c r="BG280" s="312"/>
      <c r="BH280" s="312"/>
      <c r="BI280" s="312"/>
      <c r="BJ280" s="312"/>
      <c r="BK280" s="312"/>
      <c r="BL280" s="312"/>
      <c r="BM280" s="312"/>
      <c r="BN280" s="312"/>
      <c r="BO280" s="312"/>
      <c r="BP280" s="312"/>
      <c r="BQ280" s="312"/>
      <c r="BR280" s="312"/>
      <c r="BS280" s="312"/>
      <c r="BT280" s="312"/>
      <c r="BU280" s="312"/>
      <c r="BV280" s="312"/>
      <c r="BW280" s="312"/>
      <c r="BX280" s="312"/>
      <c r="BY280" s="312"/>
      <c r="BZ280" s="312"/>
      <c r="CA280" s="312"/>
      <c r="CB280" s="312"/>
      <c r="CC280" s="312"/>
      <c r="CD280" s="312"/>
      <c r="CE280" s="312"/>
      <c r="CF280" s="312"/>
      <c r="CG280" s="312"/>
      <c r="CH280" s="312"/>
      <c r="CI280" s="312"/>
      <c r="CJ280" s="312"/>
      <c r="CK280" s="312"/>
      <c r="CL280" s="312"/>
      <c r="CM280" s="312"/>
      <c r="CN280" s="312"/>
      <c r="CO280" s="312"/>
      <c r="CP280" s="312"/>
      <c r="CQ280" s="312"/>
      <c r="CR280" s="312"/>
    </row>
    <row r="281" spans="1:96" s="300" customFormat="1" ht="15.75" customHeight="1">
      <c r="A281" s="313"/>
      <c r="B281" s="305" t="s">
        <v>1041</v>
      </c>
      <c r="C281" s="311">
        <v>3660</v>
      </c>
      <c r="D281" s="311">
        <v>4043</v>
      </c>
      <c r="E281" s="306">
        <f t="shared" si="51"/>
        <v>10.464480874316939</v>
      </c>
      <c r="F281" s="311">
        <v>10120</v>
      </c>
      <c r="G281" s="311">
        <v>11782</v>
      </c>
      <c r="H281" s="306">
        <f t="shared" si="52"/>
        <v>16.42292490118577</v>
      </c>
      <c r="I281" s="311">
        <v>3873</v>
      </c>
      <c r="J281" s="311">
        <v>4297.2</v>
      </c>
      <c r="K281" s="306">
        <f t="shared" si="53"/>
        <v>10.952749806351662</v>
      </c>
      <c r="L281" s="311">
        <v>10018</v>
      </c>
      <c r="M281" s="311">
        <v>11424</v>
      </c>
      <c r="N281" s="306">
        <f t="shared" si="54"/>
        <v>14.034737472549411</v>
      </c>
      <c r="O281" s="311"/>
      <c r="P281" s="311"/>
      <c r="Q281" s="306"/>
      <c r="R281" s="310"/>
      <c r="S281" s="311"/>
      <c r="T281" s="306">
        <f t="shared" si="55"/>
        <v>0</v>
      </c>
      <c r="U281" s="310"/>
      <c r="V281" s="311"/>
      <c r="W281" s="306">
        <f t="shared" si="56"/>
        <v>0</v>
      </c>
      <c r="X281" s="310"/>
      <c r="Y281" s="311"/>
      <c r="Z281" s="306">
        <f t="shared" si="57"/>
        <v>0</v>
      </c>
      <c r="AA281" s="310"/>
      <c r="AB281" s="311"/>
      <c r="AC281" s="306">
        <f t="shared" si="58"/>
        <v>0</v>
      </c>
      <c r="AD281" s="311"/>
      <c r="AE281" s="311"/>
      <c r="AF281" s="306">
        <f t="shared" si="59"/>
        <v>0</v>
      </c>
      <c r="AG281" s="310"/>
      <c r="AH281" s="311"/>
      <c r="AI281" s="306">
        <f t="shared" si="60"/>
        <v>0</v>
      </c>
      <c r="AJ281" s="310"/>
      <c r="AK281" s="311"/>
      <c r="AL281" s="306">
        <f t="shared" si="61"/>
        <v>0</v>
      </c>
      <c r="AM281" s="310"/>
      <c r="AN281" s="311"/>
      <c r="AO281" s="306">
        <f t="shared" si="62"/>
        <v>0</v>
      </c>
      <c r="AP281" s="310"/>
      <c r="AQ281" s="311"/>
      <c r="AR281" s="306">
        <f t="shared" si="63"/>
        <v>0</v>
      </c>
      <c r="AS281" s="310"/>
      <c r="AT281" s="311"/>
      <c r="AU281" s="306">
        <f t="shared" si="64"/>
        <v>0</v>
      </c>
      <c r="AV281" s="310"/>
      <c r="AW281" s="311"/>
      <c r="AX281" s="306">
        <f t="shared" si="65"/>
        <v>0</v>
      </c>
      <c r="AY281" s="310"/>
      <c r="AZ281" s="311"/>
      <c r="BA281" s="306">
        <f t="shared" si="66"/>
        <v>0</v>
      </c>
      <c r="BB281" s="310"/>
      <c r="BC281" s="311"/>
      <c r="BD281" s="306">
        <f t="shared" si="67"/>
        <v>0</v>
      </c>
      <c r="BE281" s="312"/>
      <c r="BF281" s="312"/>
      <c r="BG281" s="312"/>
      <c r="BH281" s="312"/>
      <c r="BI281" s="312"/>
      <c r="BJ281" s="312"/>
      <c r="BK281" s="312"/>
      <c r="BL281" s="312"/>
      <c r="BM281" s="312"/>
      <c r="BN281" s="312"/>
      <c r="BO281" s="312"/>
      <c r="BP281" s="312"/>
      <c r="BQ281" s="312"/>
      <c r="BR281" s="312"/>
      <c r="BS281" s="312"/>
      <c r="BT281" s="312"/>
      <c r="BU281" s="312"/>
      <c r="BV281" s="312"/>
      <c r="BW281" s="312"/>
      <c r="BX281" s="312"/>
      <c r="BY281" s="312"/>
      <c r="BZ281" s="312"/>
      <c r="CA281" s="312"/>
      <c r="CB281" s="312"/>
      <c r="CC281" s="312"/>
      <c r="CD281" s="312"/>
      <c r="CE281" s="312"/>
      <c r="CF281" s="312"/>
      <c r="CG281" s="312"/>
      <c r="CH281" s="312"/>
      <c r="CI281" s="312"/>
      <c r="CJ281" s="312"/>
      <c r="CK281" s="312"/>
      <c r="CL281" s="312"/>
      <c r="CM281" s="312"/>
      <c r="CN281" s="312"/>
      <c r="CO281" s="312"/>
      <c r="CP281" s="312"/>
      <c r="CQ281" s="312"/>
      <c r="CR281" s="312"/>
    </row>
    <row r="282" spans="1:96" s="300" customFormat="1" ht="15.75" customHeight="1">
      <c r="A282" s="313"/>
      <c r="B282" s="305" t="s">
        <v>671</v>
      </c>
      <c r="C282" s="311">
        <v>1620</v>
      </c>
      <c r="D282" s="311">
        <v>1668</v>
      </c>
      <c r="E282" s="306">
        <f t="shared" si="51"/>
        <v>2.9629629629629632</v>
      </c>
      <c r="F282" s="311">
        <v>5750</v>
      </c>
      <c r="G282" s="311">
        <v>6030</v>
      </c>
      <c r="H282" s="306">
        <f t="shared" si="52"/>
        <v>4.869565217391305</v>
      </c>
      <c r="I282" s="311"/>
      <c r="J282" s="311"/>
      <c r="K282" s="306"/>
      <c r="L282" s="310"/>
      <c r="M282" s="311"/>
      <c r="N282" s="306"/>
      <c r="O282" s="310"/>
      <c r="P282" s="311"/>
      <c r="Q282" s="306"/>
      <c r="R282" s="310"/>
      <c r="S282" s="311"/>
      <c r="T282" s="306"/>
      <c r="U282" s="310"/>
      <c r="V282" s="311"/>
      <c r="W282" s="306"/>
      <c r="X282" s="310"/>
      <c r="Y282" s="311"/>
      <c r="Z282" s="306"/>
      <c r="AA282" s="310"/>
      <c r="AB282" s="311"/>
      <c r="AC282" s="306"/>
      <c r="AD282" s="311"/>
      <c r="AE282" s="311"/>
      <c r="AF282" s="306"/>
      <c r="AG282" s="310"/>
      <c r="AH282" s="311"/>
      <c r="AI282" s="306"/>
      <c r="AJ282" s="310"/>
      <c r="AK282" s="311"/>
      <c r="AL282" s="306"/>
      <c r="AM282" s="310"/>
      <c r="AN282" s="311"/>
      <c r="AO282" s="306"/>
      <c r="AP282" s="310"/>
      <c r="AQ282" s="311"/>
      <c r="AR282" s="306"/>
      <c r="AS282" s="310"/>
      <c r="AT282" s="311"/>
      <c r="AU282" s="306"/>
      <c r="AV282" s="310"/>
      <c r="AW282" s="311"/>
      <c r="AX282" s="306"/>
      <c r="AY282" s="310"/>
      <c r="AZ282" s="311"/>
      <c r="BA282" s="306"/>
      <c r="BB282" s="310"/>
      <c r="BC282" s="311"/>
      <c r="BD282" s="306"/>
      <c r="BE282" s="312"/>
      <c r="BF282" s="312"/>
      <c r="BG282" s="312"/>
      <c r="BH282" s="312"/>
      <c r="BI282" s="312"/>
      <c r="BJ282" s="312"/>
      <c r="BK282" s="312"/>
      <c r="BL282" s="312"/>
      <c r="BM282" s="312"/>
      <c r="BN282" s="312"/>
      <c r="BO282" s="312"/>
      <c r="BP282" s="312"/>
      <c r="BQ282" s="312"/>
      <c r="BR282" s="312"/>
      <c r="BS282" s="312"/>
      <c r="BT282" s="312"/>
      <c r="BU282" s="312"/>
      <c r="BV282" s="312"/>
      <c r="BW282" s="312"/>
      <c r="BX282" s="312"/>
      <c r="BY282" s="312"/>
      <c r="BZ282" s="312"/>
      <c r="CA282" s="312"/>
      <c r="CB282" s="312"/>
      <c r="CC282" s="312"/>
      <c r="CD282" s="312"/>
      <c r="CE282" s="312"/>
      <c r="CF282" s="312"/>
      <c r="CG282" s="312"/>
      <c r="CH282" s="312"/>
      <c r="CI282" s="312"/>
      <c r="CJ282" s="312"/>
      <c r="CK282" s="312"/>
      <c r="CL282" s="312"/>
      <c r="CM282" s="312"/>
      <c r="CN282" s="312"/>
      <c r="CO282" s="312"/>
      <c r="CP282" s="312"/>
      <c r="CQ282" s="312"/>
      <c r="CR282" s="312"/>
    </row>
    <row r="283" spans="1:96" s="300" customFormat="1" ht="15.75" customHeight="1">
      <c r="A283" s="313"/>
      <c r="B283" s="305" t="s">
        <v>672</v>
      </c>
      <c r="C283" s="311">
        <v>1648.5</v>
      </c>
      <c r="D283" s="311">
        <v>1740</v>
      </c>
      <c r="E283" s="306">
        <f t="shared" si="51"/>
        <v>5.550500454959054</v>
      </c>
      <c r="F283" s="311">
        <v>6209</v>
      </c>
      <c r="G283" s="311">
        <v>6429</v>
      </c>
      <c r="H283" s="306">
        <f t="shared" si="52"/>
        <v>3.5432436785311645</v>
      </c>
      <c r="I283" s="311"/>
      <c r="J283" s="311"/>
      <c r="K283" s="306"/>
      <c r="L283" s="310"/>
      <c r="M283" s="311"/>
      <c r="N283" s="306"/>
      <c r="O283" s="310"/>
      <c r="P283" s="311"/>
      <c r="Q283" s="306"/>
      <c r="R283" s="310"/>
      <c r="S283" s="311"/>
      <c r="T283" s="306"/>
      <c r="U283" s="310"/>
      <c r="V283" s="311"/>
      <c r="W283" s="306"/>
      <c r="X283" s="310"/>
      <c r="Y283" s="311"/>
      <c r="Z283" s="306"/>
      <c r="AA283" s="310"/>
      <c r="AB283" s="311"/>
      <c r="AC283" s="306"/>
      <c r="AD283" s="311"/>
      <c r="AE283" s="311"/>
      <c r="AF283" s="306"/>
      <c r="AG283" s="310"/>
      <c r="AH283" s="311"/>
      <c r="AI283" s="306"/>
      <c r="AJ283" s="310"/>
      <c r="AK283" s="311"/>
      <c r="AL283" s="306"/>
      <c r="AM283" s="310"/>
      <c r="AN283" s="311"/>
      <c r="AO283" s="306"/>
      <c r="AP283" s="310"/>
      <c r="AQ283" s="311"/>
      <c r="AR283" s="306"/>
      <c r="AS283" s="310"/>
      <c r="AT283" s="311"/>
      <c r="AU283" s="306"/>
      <c r="AV283" s="310"/>
      <c r="AW283" s="311"/>
      <c r="AX283" s="306"/>
      <c r="AY283" s="310"/>
      <c r="AZ283" s="311"/>
      <c r="BA283" s="306"/>
      <c r="BB283" s="310"/>
      <c r="BC283" s="311"/>
      <c r="BD283" s="306"/>
      <c r="BE283" s="312"/>
      <c r="BF283" s="312"/>
      <c r="BG283" s="312"/>
      <c r="BH283" s="312"/>
      <c r="BI283" s="312"/>
      <c r="BJ283" s="312"/>
      <c r="BK283" s="312"/>
      <c r="BL283" s="312"/>
      <c r="BM283" s="312"/>
      <c r="BN283" s="312"/>
      <c r="BO283" s="312"/>
      <c r="BP283" s="312"/>
      <c r="BQ283" s="312"/>
      <c r="BR283" s="312"/>
      <c r="BS283" s="312"/>
      <c r="BT283" s="312"/>
      <c r="BU283" s="312"/>
      <c r="BV283" s="312"/>
      <c r="BW283" s="312"/>
      <c r="BX283" s="312"/>
      <c r="BY283" s="312"/>
      <c r="BZ283" s="312"/>
      <c r="CA283" s="312"/>
      <c r="CB283" s="312"/>
      <c r="CC283" s="312"/>
      <c r="CD283" s="312"/>
      <c r="CE283" s="312"/>
      <c r="CF283" s="312"/>
      <c r="CG283" s="312"/>
      <c r="CH283" s="312"/>
      <c r="CI283" s="312"/>
      <c r="CJ283" s="312"/>
      <c r="CK283" s="312"/>
      <c r="CL283" s="312"/>
      <c r="CM283" s="312"/>
      <c r="CN283" s="312"/>
      <c r="CO283" s="312"/>
      <c r="CP283" s="312"/>
      <c r="CQ283" s="312"/>
      <c r="CR283" s="312"/>
    </row>
    <row r="284" spans="1:96" s="300" customFormat="1" ht="15.75" customHeight="1">
      <c r="A284" s="313"/>
      <c r="B284" s="305" t="s">
        <v>673</v>
      </c>
      <c r="C284" s="311">
        <v>1635</v>
      </c>
      <c r="D284" s="311">
        <v>1748</v>
      </c>
      <c r="E284" s="306">
        <f t="shared" si="51"/>
        <v>6.911314984709479</v>
      </c>
      <c r="F284" s="311">
        <v>6030</v>
      </c>
      <c r="G284" s="311">
        <v>6357</v>
      </c>
      <c r="H284" s="306">
        <f t="shared" si="52"/>
        <v>5.422885572139304</v>
      </c>
      <c r="I284" s="311"/>
      <c r="J284" s="311"/>
      <c r="K284" s="306"/>
      <c r="L284" s="310"/>
      <c r="M284" s="311"/>
      <c r="N284" s="306"/>
      <c r="O284" s="310"/>
      <c r="P284" s="311"/>
      <c r="Q284" s="306"/>
      <c r="R284" s="310"/>
      <c r="S284" s="311"/>
      <c r="T284" s="306"/>
      <c r="U284" s="310"/>
      <c r="V284" s="311"/>
      <c r="W284" s="306"/>
      <c r="X284" s="310"/>
      <c r="Y284" s="311"/>
      <c r="Z284" s="306"/>
      <c r="AA284" s="310"/>
      <c r="AB284" s="311"/>
      <c r="AC284" s="306"/>
      <c r="AD284" s="311"/>
      <c r="AE284" s="311"/>
      <c r="AF284" s="306"/>
      <c r="AG284" s="310"/>
      <c r="AH284" s="311"/>
      <c r="AI284" s="306"/>
      <c r="AJ284" s="310"/>
      <c r="AK284" s="311"/>
      <c r="AL284" s="306"/>
      <c r="AM284" s="310"/>
      <c r="AN284" s="311"/>
      <c r="AO284" s="306"/>
      <c r="AP284" s="310"/>
      <c r="AQ284" s="311"/>
      <c r="AR284" s="306"/>
      <c r="AS284" s="310"/>
      <c r="AT284" s="311"/>
      <c r="AU284" s="306"/>
      <c r="AV284" s="310"/>
      <c r="AW284" s="311"/>
      <c r="AX284" s="306"/>
      <c r="AY284" s="310"/>
      <c r="AZ284" s="311"/>
      <c r="BA284" s="306"/>
      <c r="BB284" s="310"/>
      <c r="BC284" s="311"/>
      <c r="BD284" s="306"/>
      <c r="BE284" s="312"/>
      <c r="BF284" s="312"/>
      <c r="BG284" s="312"/>
      <c r="BH284" s="312"/>
      <c r="BI284" s="312"/>
      <c r="BJ284" s="312"/>
      <c r="BK284" s="312"/>
      <c r="BL284" s="312"/>
      <c r="BM284" s="312"/>
      <c r="BN284" s="312"/>
      <c r="BO284" s="312"/>
      <c r="BP284" s="312"/>
      <c r="BQ284" s="312"/>
      <c r="BR284" s="312"/>
      <c r="BS284" s="312"/>
      <c r="BT284" s="312"/>
      <c r="BU284" s="312"/>
      <c r="BV284" s="312"/>
      <c r="BW284" s="312"/>
      <c r="BX284" s="312"/>
      <c r="BY284" s="312"/>
      <c r="BZ284" s="312"/>
      <c r="CA284" s="312"/>
      <c r="CB284" s="312"/>
      <c r="CC284" s="312"/>
      <c r="CD284" s="312"/>
      <c r="CE284" s="312"/>
      <c r="CF284" s="312"/>
      <c r="CG284" s="312"/>
      <c r="CH284" s="312"/>
      <c r="CI284" s="312"/>
      <c r="CJ284" s="312"/>
      <c r="CK284" s="312"/>
      <c r="CL284" s="312"/>
      <c r="CM284" s="312"/>
      <c r="CN284" s="312"/>
      <c r="CO284" s="312"/>
      <c r="CP284" s="312"/>
      <c r="CQ284" s="312"/>
      <c r="CR284" s="312"/>
    </row>
    <row r="285" spans="1:96" s="300" customFormat="1" ht="15.75" customHeight="1">
      <c r="A285" s="313"/>
      <c r="B285" s="305" t="s">
        <v>76</v>
      </c>
      <c r="C285" s="311">
        <v>1813</v>
      </c>
      <c r="D285" s="311">
        <v>1980</v>
      </c>
      <c r="E285" s="306">
        <f t="shared" si="51"/>
        <v>9.211252068394927</v>
      </c>
      <c r="F285" s="311">
        <v>5220</v>
      </c>
      <c r="G285" s="311">
        <v>5978</v>
      </c>
      <c r="H285" s="306">
        <f t="shared" si="52"/>
        <v>14.521072796934867</v>
      </c>
      <c r="I285" s="311"/>
      <c r="J285" s="311"/>
      <c r="K285" s="306"/>
      <c r="L285" s="310"/>
      <c r="M285" s="311"/>
      <c r="N285" s="306"/>
      <c r="O285" s="310"/>
      <c r="P285" s="311"/>
      <c r="Q285" s="306"/>
      <c r="R285" s="310"/>
      <c r="S285" s="311"/>
      <c r="T285" s="306"/>
      <c r="U285" s="310"/>
      <c r="V285" s="311"/>
      <c r="W285" s="306"/>
      <c r="X285" s="310"/>
      <c r="Y285" s="311"/>
      <c r="Z285" s="306"/>
      <c r="AA285" s="310"/>
      <c r="AB285" s="311"/>
      <c r="AC285" s="306"/>
      <c r="AD285" s="311"/>
      <c r="AE285" s="311"/>
      <c r="AF285" s="306"/>
      <c r="AG285" s="310"/>
      <c r="AH285" s="311"/>
      <c r="AI285" s="306"/>
      <c r="AJ285" s="310"/>
      <c r="AK285" s="311"/>
      <c r="AL285" s="306"/>
      <c r="AM285" s="310"/>
      <c r="AN285" s="311"/>
      <c r="AO285" s="306"/>
      <c r="AP285" s="310"/>
      <c r="AQ285" s="311"/>
      <c r="AR285" s="306"/>
      <c r="AS285" s="310"/>
      <c r="AT285" s="311"/>
      <c r="AU285" s="306"/>
      <c r="AV285" s="310"/>
      <c r="AW285" s="311"/>
      <c r="AX285" s="306"/>
      <c r="AY285" s="310"/>
      <c r="AZ285" s="311"/>
      <c r="BA285" s="306"/>
      <c r="BB285" s="310"/>
      <c r="BC285" s="311"/>
      <c r="BD285" s="306"/>
      <c r="BE285" s="312"/>
      <c r="BF285" s="312"/>
      <c r="BG285" s="312"/>
      <c r="BH285" s="312"/>
      <c r="BI285" s="312"/>
      <c r="BJ285" s="312"/>
      <c r="BK285" s="312"/>
      <c r="BL285" s="312"/>
      <c r="BM285" s="312"/>
      <c r="BN285" s="312"/>
      <c r="BO285" s="312"/>
      <c r="BP285" s="312"/>
      <c r="BQ285" s="312"/>
      <c r="BR285" s="312"/>
      <c r="BS285" s="312"/>
      <c r="BT285" s="312"/>
      <c r="BU285" s="312"/>
      <c r="BV285" s="312"/>
      <c r="BW285" s="312"/>
      <c r="BX285" s="312"/>
      <c r="BY285" s="312"/>
      <c r="BZ285" s="312"/>
      <c r="CA285" s="312"/>
      <c r="CB285" s="312"/>
      <c r="CC285" s="312"/>
      <c r="CD285" s="312"/>
      <c r="CE285" s="312"/>
      <c r="CF285" s="312"/>
      <c r="CG285" s="312"/>
      <c r="CH285" s="312"/>
      <c r="CI285" s="312"/>
      <c r="CJ285" s="312"/>
      <c r="CK285" s="312"/>
      <c r="CL285" s="312"/>
      <c r="CM285" s="312"/>
      <c r="CN285" s="312"/>
      <c r="CO285" s="312"/>
      <c r="CP285" s="312"/>
      <c r="CQ285" s="312"/>
      <c r="CR285" s="312"/>
    </row>
    <row r="286" spans="1:96" s="300" customFormat="1" ht="15.75" customHeight="1">
      <c r="A286" s="313"/>
      <c r="B286" s="305" t="s">
        <v>473</v>
      </c>
      <c r="C286" s="311">
        <v>1695</v>
      </c>
      <c r="D286" s="311">
        <v>1785</v>
      </c>
      <c r="E286" s="306">
        <f t="shared" si="51"/>
        <v>5.3097345132743365</v>
      </c>
      <c r="F286" s="311">
        <v>5750</v>
      </c>
      <c r="G286" s="311">
        <v>6083</v>
      </c>
      <c r="H286" s="306">
        <f t="shared" si="52"/>
        <v>5.791304347826087</v>
      </c>
      <c r="I286" s="311"/>
      <c r="J286" s="311"/>
      <c r="K286" s="306"/>
      <c r="L286" s="310"/>
      <c r="M286" s="311"/>
      <c r="N286" s="306"/>
      <c r="O286" s="310"/>
      <c r="P286" s="311"/>
      <c r="Q286" s="306"/>
      <c r="R286" s="310"/>
      <c r="S286" s="311"/>
      <c r="T286" s="306"/>
      <c r="U286" s="310"/>
      <c r="V286" s="311"/>
      <c r="W286" s="306"/>
      <c r="X286" s="310"/>
      <c r="Y286" s="311"/>
      <c r="Z286" s="306"/>
      <c r="AA286" s="310"/>
      <c r="AB286" s="311"/>
      <c r="AC286" s="306"/>
      <c r="AD286" s="311"/>
      <c r="AE286" s="311"/>
      <c r="AF286" s="306"/>
      <c r="AG286" s="310"/>
      <c r="AH286" s="311"/>
      <c r="AI286" s="306"/>
      <c r="AJ286" s="310"/>
      <c r="AK286" s="311"/>
      <c r="AL286" s="306"/>
      <c r="AM286" s="310"/>
      <c r="AN286" s="311"/>
      <c r="AO286" s="306"/>
      <c r="AP286" s="310"/>
      <c r="AQ286" s="311"/>
      <c r="AR286" s="306"/>
      <c r="AS286" s="310"/>
      <c r="AT286" s="311"/>
      <c r="AU286" s="306"/>
      <c r="AV286" s="310"/>
      <c r="AW286" s="311"/>
      <c r="AX286" s="306"/>
      <c r="AY286" s="310"/>
      <c r="AZ286" s="311"/>
      <c r="BA286" s="306"/>
      <c r="BB286" s="310"/>
      <c r="BC286" s="311"/>
      <c r="BD286" s="306"/>
      <c r="BE286" s="312"/>
      <c r="BF286" s="312"/>
      <c r="BG286" s="312"/>
      <c r="BH286" s="312"/>
      <c r="BI286" s="312"/>
      <c r="BJ286" s="312"/>
      <c r="BK286" s="312"/>
      <c r="BL286" s="312"/>
      <c r="BM286" s="312"/>
      <c r="BN286" s="312"/>
      <c r="BO286" s="312"/>
      <c r="BP286" s="312"/>
      <c r="BQ286" s="312"/>
      <c r="BR286" s="312"/>
      <c r="BS286" s="312"/>
      <c r="BT286" s="312"/>
      <c r="BU286" s="312"/>
      <c r="BV286" s="312"/>
      <c r="BW286" s="312"/>
      <c r="BX286" s="312"/>
      <c r="BY286" s="312"/>
      <c r="BZ286" s="312"/>
      <c r="CA286" s="312"/>
      <c r="CB286" s="312"/>
      <c r="CC286" s="312"/>
      <c r="CD286" s="312"/>
      <c r="CE286" s="312"/>
      <c r="CF286" s="312"/>
      <c r="CG286" s="312"/>
      <c r="CH286" s="312"/>
      <c r="CI286" s="312"/>
      <c r="CJ286" s="312"/>
      <c r="CK286" s="312"/>
      <c r="CL286" s="312"/>
      <c r="CM286" s="312"/>
      <c r="CN286" s="312"/>
      <c r="CO286" s="312"/>
      <c r="CP286" s="312"/>
      <c r="CQ286" s="312"/>
      <c r="CR286" s="312"/>
    </row>
    <row r="287" spans="1:96" s="300" customFormat="1" ht="15.75" customHeight="1">
      <c r="A287" s="313"/>
      <c r="B287" s="305" t="s">
        <v>77</v>
      </c>
      <c r="C287" s="311">
        <v>1122</v>
      </c>
      <c r="D287" s="311">
        <v>1149</v>
      </c>
      <c r="E287" s="306">
        <f t="shared" si="51"/>
        <v>2.406417112299465</v>
      </c>
      <c r="F287" s="311">
        <v>2097</v>
      </c>
      <c r="G287" s="311">
        <v>2161.5</v>
      </c>
      <c r="H287" s="306">
        <f t="shared" si="52"/>
        <v>3.0758226037195997</v>
      </c>
      <c r="I287" s="311"/>
      <c r="J287" s="311"/>
      <c r="K287" s="306"/>
      <c r="L287" s="310"/>
      <c r="M287" s="311"/>
      <c r="N287" s="306"/>
      <c r="O287" s="310"/>
      <c r="P287" s="311"/>
      <c r="Q287" s="306"/>
      <c r="R287" s="310"/>
      <c r="S287" s="311"/>
      <c r="T287" s="306"/>
      <c r="U287" s="310"/>
      <c r="V287" s="311"/>
      <c r="W287" s="306"/>
      <c r="X287" s="310"/>
      <c r="Y287" s="311"/>
      <c r="Z287" s="306"/>
      <c r="AA287" s="310"/>
      <c r="AB287" s="311"/>
      <c r="AC287" s="306"/>
      <c r="AD287" s="311"/>
      <c r="AE287" s="311"/>
      <c r="AF287" s="306"/>
      <c r="AG287" s="310"/>
      <c r="AH287" s="311"/>
      <c r="AI287" s="306"/>
      <c r="AJ287" s="310"/>
      <c r="AK287" s="311"/>
      <c r="AL287" s="306"/>
      <c r="AM287" s="310"/>
      <c r="AN287" s="311"/>
      <c r="AO287" s="306"/>
      <c r="AP287" s="310"/>
      <c r="AQ287" s="311"/>
      <c r="AR287" s="306"/>
      <c r="AS287" s="310"/>
      <c r="AT287" s="311"/>
      <c r="AU287" s="306"/>
      <c r="AV287" s="310"/>
      <c r="AW287" s="311"/>
      <c r="AX287" s="306"/>
      <c r="AY287" s="310"/>
      <c r="AZ287" s="311"/>
      <c r="BA287" s="306"/>
      <c r="BB287" s="310"/>
      <c r="BC287" s="311"/>
      <c r="BD287" s="306"/>
      <c r="BE287" s="312"/>
      <c r="BF287" s="312"/>
      <c r="BG287" s="312"/>
      <c r="BH287" s="312"/>
      <c r="BI287" s="312"/>
      <c r="BJ287" s="312"/>
      <c r="BK287" s="312"/>
      <c r="BL287" s="312"/>
      <c r="BM287" s="312"/>
      <c r="BN287" s="312"/>
      <c r="BO287" s="312"/>
      <c r="BP287" s="312"/>
      <c r="BQ287" s="312"/>
      <c r="BR287" s="312"/>
      <c r="BS287" s="312"/>
      <c r="BT287" s="312"/>
      <c r="BU287" s="312"/>
      <c r="BV287" s="312"/>
      <c r="BW287" s="312"/>
      <c r="BX287" s="312"/>
      <c r="BY287" s="312"/>
      <c r="BZ287" s="312"/>
      <c r="CA287" s="312"/>
      <c r="CB287" s="312"/>
      <c r="CC287" s="312"/>
      <c r="CD287" s="312"/>
      <c r="CE287" s="312"/>
      <c r="CF287" s="312"/>
      <c r="CG287" s="312"/>
      <c r="CH287" s="312"/>
      <c r="CI287" s="312"/>
      <c r="CJ287" s="312"/>
      <c r="CK287" s="312"/>
      <c r="CL287" s="312"/>
      <c r="CM287" s="312"/>
      <c r="CN287" s="312"/>
      <c r="CO287" s="312"/>
      <c r="CP287" s="312"/>
      <c r="CQ287" s="312"/>
      <c r="CR287" s="312"/>
    </row>
    <row r="288" spans="1:96" s="300" customFormat="1" ht="15.75" customHeight="1">
      <c r="A288" s="313"/>
      <c r="B288" s="305" t="s">
        <v>63</v>
      </c>
      <c r="C288" s="311">
        <v>1548</v>
      </c>
      <c r="D288" s="311">
        <v>1752</v>
      </c>
      <c r="E288" s="306">
        <f t="shared" si="51"/>
        <v>13.178294573643413</v>
      </c>
      <c r="F288" s="311">
        <v>2220</v>
      </c>
      <c r="G288" s="311">
        <v>2160</v>
      </c>
      <c r="H288" s="306">
        <f t="shared" si="52"/>
        <v>-2.7027027027027026</v>
      </c>
      <c r="I288" s="311"/>
      <c r="J288" s="311"/>
      <c r="K288" s="306"/>
      <c r="L288" s="310"/>
      <c r="M288" s="311"/>
      <c r="N288" s="306"/>
      <c r="O288" s="310"/>
      <c r="P288" s="311"/>
      <c r="Q288" s="306"/>
      <c r="R288" s="310"/>
      <c r="S288" s="311"/>
      <c r="T288" s="306"/>
      <c r="U288" s="310"/>
      <c r="V288" s="311"/>
      <c r="W288" s="306"/>
      <c r="X288" s="310"/>
      <c r="Y288" s="311"/>
      <c r="Z288" s="306"/>
      <c r="AA288" s="310"/>
      <c r="AB288" s="311"/>
      <c r="AC288" s="306"/>
      <c r="AD288" s="311"/>
      <c r="AE288" s="311"/>
      <c r="AF288" s="306"/>
      <c r="AG288" s="310"/>
      <c r="AH288" s="311"/>
      <c r="AI288" s="306"/>
      <c r="AJ288" s="310"/>
      <c r="AK288" s="311"/>
      <c r="AL288" s="306"/>
      <c r="AM288" s="310"/>
      <c r="AN288" s="311"/>
      <c r="AO288" s="306"/>
      <c r="AP288" s="310"/>
      <c r="AQ288" s="311"/>
      <c r="AR288" s="306"/>
      <c r="AS288" s="310"/>
      <c r="AT288" s="311"/>
      <c r="AU288" s="306"/>
      <c r="AV288" s="310"/>
      <c r="AW288" s="311"/>
      <c r="AX288" s="306"/>
      <c r="AY288" s="310"/>
      <c r="AZ288" s="311"/>
      <c r="BA288" s="306"/>
      <c r="BB288" s="310"/>
      <c r="BC288" s="311"/>
      <c r="BD288" s="306"/>
      <c r="BE288" s="312"/>
      <c r="BF288" s="312"/>
      <c r="BG288" s="312"/>
      <c r="BH288" s="312"/>
      <c r="BI288" s="312"/>
      <c r="BJ288" s="312"/>
      <c r="BK288" s="312"/>
      <c r="BL288" s="312"/>
      <c r="BM288" s="312"/>
      <c r="BN288" s="312"/>
      <c r="BO288" s="312"/>
      <c r="BP288" s="312"/>
      <c r="BQ288" s="312"/>
      <c r="BR288" s="312"/>
      <c r="BS288" s="312"/>
      <c r="BT288" s="312"/>
      <c r="BU288" s="312"/>
      <c r="BV288" s="312"/>
      <c r="BW288" s="312"/>
      <c r="BX288" s="312"/>
      <c r="BY288" s="312"/>
      <c r="BZ288" s="312"/>
      <c r="CA288" s="312"/>
      <c r="CB288" s="312"/>
      <c r="CC288" s="312"/>
      <c r="CD288" s="312"/>
      <c r="CE288" s="312"/>
      <c r="CF288" s="312"/>
      <c r="CG288" s="312"/>
      <c r="CH288" s="312"/>
      <c r="CI288" s="312"/>
      <c r="CJ288" s="312"/>
      <c r="CK288" s="312"/>
      <c r="CL288" s="312"/>
      <c r="CM288" s="312"/>
      <c r="CN288" s="312"/>
      <c r="CO288" s="312"/>
      <c r="CP288" s="312"/>
      <c r="CQ288" s="312"/>
      <c r="CR288" s="312"/>
    </row>
    <row r="289" spans="1:96" s="300" customFormat="1" ht="15.75" customHeight="1">
      <c r="A289" s="313"/>
      <c r="B289" s="305" t="s">
        <v>64</v>
      </c>
      <c r="C289" s="311">
        <v>681</v>
      </c>
      <c r="D289" s="311">
        <v>927</v>
      </c>
      <c r="E289" s="306">
        <f t="shared" si="51"/>
        <v>36.12334801762114</v>
      </c>
      <c r="F289" s="311">
        <v>1169</v>
      </c>
      <c r="G289" s="311">
        <v>1455</v>
      </c>
      <c r="H289" s="306">
        <f t="shared" si="52"/>
        <v>24.46535500427716</v>
      </c>
      <c r="I289" s="311"/>
      <c r="J289" s="311"/>
      <c r="K289" s="306"/>
      <c r="L289" s="310"/>
      <c r="M289" s="311"/>
      <c r="N289" s="306"/>
      <c r="O289" s="310"/>
      <c r="P289" s="311"/>
      <c r="Q289" s="306"/>
      <c r="R289" s="310"/>
      <c r="S289" s="311"/>
      <c r="T289" s="306"/>
      <c r="U289" s="310"/>
      <c r="V289" s="311"/>
      <c r="W289" s="306"/>
      <c r="X289" s="310"/>
      <c r="Y289" s="311"/>
      <c r="Z289" s="306"/>
      <c r="AA289" s="310"/>
      <c r="AB289" s="311"/>
      <c r="AC289" s="306"/>
      <c r="AD289" s="311"/>
      <c r="AE289" s="311"/>
      <c r="AF289" s="306"/>
      <c r="AG289" s="310"/>
      <c r="AH289" s="311"/>
      <c r="AI289" s="306"/>
      <c r="AJ289" s="310"/>
      <c r="AK289" s="311"/>
      <c r="AL289" s="306"/>
      <c r="AM289" s="310"/>
      <c r="AN289" s="311"/>
      <c r="AO289" s="306"/>
      <c r="AP289" s="310"/>
      <c r="AQ289" s="311"/>
      <c r="AR289" s="306"/>
      <c r="AS289" s="310"/>
      <c r="AT289" s="311"/>
      <c r="AU289" s="306"/>
      <c r="AV289" s="310"/>
      <c r="AW289" s="311"/>
      <c r="AX289" s="306"/>
      <c r="AY289" s="310"/>
      <c r="AZ289" s="311"/>
      <c r="BA289" s="306"/>
      <c r="BB289" s="310"/>
      <c r="BC289" s="311"/>
      <c r="BD289" s="306"/>
      <c r="BE289" s="312"/>
      <c r="BF289" s="312"/>
      <c r="BG289" s="312"/>
      <c r="BH289" s="312"/>
      <c r="BI289" s="312"/>
      <c r="BJ289" s="312"/>
      <c r="BK289" s="312"/>
      <c r="BL289" s="312"/>
      <c r="BM289" s="312"/>
      <c r="BN289" s="312"/>
      <c r="BO289" s="312"/>
      <c r="BP289" s="312"/>
      <c r="BQ289" s="312"/>
      <c r="BR289" s="312"/>
      <c r="BS289" s="312"/>
      <c r="BT289" s="312"/>
      <c r="BU289" s="312"/>
      <c r="BV289" s="312"/>
      <c r="BW289" s="312"/>
      <c r="BX289" s="312"/>
      <c r="BY289" s="312"/>
      <c r="BZ289" s="312"/>
      <c r="CA289" s="312"/>
      <c r="CB289" s="312"/>
      <c r="CC289" s="312"/>
      <c r="CD289" s="312"/>
      <c r="CE289" s="312"/>
      <c r="CF289" s="312"/>
      <c r="CG289" s="312"/>
      <c r="CH289" s="312"/>
      <c r="CI289" s="312"/>
      <c r="CJ289" s="312"/>
      <c r="CK289" s="312"/>
      <c r="CL289" s="312"/>
      <c r="CM289" s="312"/>
      <c r="CN289" s="312"/>
      <c r="CO289" s="312"/>
      <c r="CP289" s="312"/>
      <c r="CQ289" s="312"/>
      <c r="CR289" s="312"/>
    </row>
    <row r="290" spans="1:96" s="300" customFormat="1" ht="15.75" customHeight="1">
      <c r="A290" s="313"/>
      <c r="B290" s="305" t="s">
        <v>970</v>
      </c>
      <c r="C290" s="311">
        <v>1110</v>
      </c>
      <c r="D290" s="311">
        <v>1146</v>
      </c>
      <c r="E290" s="306">
        <f t="shared" si="51"/>
        <v>3.2432432432432434</v>
      </c>
      <c r="F290" s="311">
        <v>1169</v>
      </c>
      <c r="G290" s="311">
        <v>1673</v>
      </c>
      <c r="H290" s="306">
        <f t="shared" si="52"/>
        <v>43.11377245508982</v>
      </c>
      <c r="I290" s="311"/>
      <c r="J290" s="311"/>
      <c r="K290" s="306"/>
      <c r="L290" s="310"/>
      <c r="M290" s="311"/>
      <c r="N290" s="306"/>
      <c r="O290" s="310"/>
      <c r="P290" s="311"/>
      <c r="Q290" s="306"/>
      <c r="R290" s="310"/>
      <c r="S290" s="311"/>
      <c r="T290" s="306"/>
      <c r="U290" s="310"/>
      <c r="V290" s="311"/>
      <c r="W290" s="306"/>
      <c r="X290" s="310"/>
      <c r="Y290" s="311"/>
      <c r="Z290" s="306"/>
      <c r="AA290" s="310"/>
      <c r="AB290" s="311"/>
      <c r="AC290" s="306"/>
      <c r="AD290" s="311"/>
      <c r="AE290" s="311"/>
      <c r="AF290" s="306"/>
      <c r="AG290" s="310"/>
      <c r="AH290" s="311"/>
      <c r="AI290" s="306"/>
      <c r="AJ290" s="310"/>
      <c r="AK290" s="311"/>
      <c r="AL290" s="306"/>
      <c r="AM290" s="310"/>
      <c r="AN290" s="311"/>
      <c r="AO290" s="306"/>
      <c r="AP290" s="310"/>
      <c r="AQ290" s="311"/>
      <c r="AR290" s="306"/>
      <c r="AS290" s="310"/>
      <c r="AT290" s="311"/>
      <c r="AU290" s="306"/>
      <c r="AV290" s="310"/>
      <c r="AW290" s="311"/>
      <c r="AX290" s="306"/>
      <c r="AY290" s="310"/>
      <c r="AZ290" s="311"/>
      <c r="BA290" s="306"/>
      <c r="BB290" s="310"/>
      <c r="BC290" s="311"/>
      <c r="BD290" s="306"/>
      <c r="BE290" s="312"/>
      <c r="BF290" s="312"/>
      <c r="BG290" s="312"/>
      <c r="BH290" s="312"/>
      <c r="BI290" s="312"/>
      <c r="BJ290" s="312"/>
      <c r="BK290" s="312"/>
      <c r="BL290" s="312"/>
      <c r="BM290" s="312"/>
      <c r="BN290" s="312"/>
      <c r="BO290" s="312"/>
      <c r="BP290" s="312"/>
      <c r="BQ290" s="312"/>
      <c r="BR290" s="312"/>
      <c r="BS290" s="312"/>
      <c r="BT290" s="312"/>
      <c r="BU290" s="312"/>
      <c r="BV290" s="312"/>
      <c r="BW290" s="312"/>
      <c r="BX290" s="312"/>
      <c r="BY290" s="312"/>
      <c r="BZ290" s="312"/>
      <c r="CA290" s="312"/>
      <c r="CB290" s="312"/>
      <c r="CC290" s="312"/>
      <c r="CD290" s="312"/>
      <c r="CE290" s="312"/>
      <c r="CF290" s="312"/>
      <c r="CG290" s="312"/>
      <c r="CH290" s="312"/>
      <c r="CI290" s="312"/>
      <c r="CJ290" s="312"/>
      <c r="CK290" s="312"/>
      <c r="CL290" s="312"/>
      <c r="CM290" s="312"/>
      <c r="CN290" s="312"/>
      <c r="CO290" s="312"/>
      <c r="CP290" s="312"/>
      <c r="CQ290" s="312"/>
      <c r="CR290" s="312"/>
    </row>
    <row r="291" spans="1:96" s="300" customFormat="1" ht="15.75" customHeight="1">
      <c r="A291" s="314"/>
      <c r="B291" s="315"/>
      <c r="C291" s="317"/>
      <c r="D291" s="317"/>
      <c r="E291" s="318"/>
      <c r="F291" s="316"/>
      <c r="G291" s="317"/>
      <c r="H291" s="318"/>
      <c r="I291" s="316"/>
      <c r="J291" s="317"/>
      <c r="K291" s="318"/>
      <c r="L291" s="316"/>
      <c r="M291" s="317"/>
      <c r="N291" s="318"/>
      <c r="O291" s="316">
        <v>7792</v>
      </c>
      <c r="P291" s="317">
        <v>9200</v>
      </c>
      <c r="Q291" s="318">
        <f>IF(O291&gt;0,(((P291-O291)/O291)*100),0)</f>
        <v>18.069815195071868</v>
      </c>
      <c r="R291" s="317">
        <v>18736</v>
      </c>
      <c r="S291" s="317">
        <v>20746</v>
      </c>
      <c r="T291" s="318">
        <f>IF(R291&gt;0,(((S291-R291)/R291)*100),0)</f>
        <v>10.72801024765158</v>
      </c>
      <c r="U291" s="317">
        <v>11510</v>
      </c>
      <c r="V291" s="317">
        <v>13104</v>
      </c>
      <c r="W291" s="318">
        <f>IF(U291&gt;0,(((V291-U291)/U291)*100),0)</f>
        <v>13.848827106863599</v>
      </c>
      <c r="X291" s="317">
        <v>30871</v>
      </c>
      <c r="Y291" s="317">
        <v>32648</v>
      </c>
      <c r="Z291" s="318">
        <f>IF(X291&gt;0,(((Y291-X291)/X291)*100),0)</f>
        <v>5.756211331022643</v>
      </c>
      <c r="AA291" s="317">
        <v>9247</v>
      </c>
      <c r="AB291" s="317">
        <v>11189</v>
      </c>
      <c r="AC291" s="318">
        <f>IF(AA291&gt;0,(((AB291-AA291)/AA291)*100),0)</f>
        <v>21.001405861360443</v>
      </c>
      <c r="AD291" s="317">
        <v>28512</v>
      </c>
      <c r="AE291" s="317">
        <v>31134</v>
      </c>
      <c r="AF291" s="318">
        <f>IF(AD291&gt;0,(((AE291-AD291)/AD291)*100),0)</f>
        <v>9.196127946127946</v>
      </c>
      <c r="AG291" s="317">
        <v>6748</v>
      </c>
      <c r="AH291" s="317">
        <v>8050</v>
      </c>
      <c r="AI291" s="318">
        <f>IF(AG291&gt;0,(((AH291-AG291)/AG291)*100),0)</f>
        <v>19.294605809128633</v>
      </c>
      <c r="AJ291" s="317">
        <v>18404.36</v>
      </c>
      <c r="AK291" s="317">
        <v>21420.54</v>
      </c>
      <c r="AL291" s="318">
        <f>IF(AJ291&gt;0,(((AK291-AJ291)/AJ291)*100),0)</f>
        <v>16.388399270607618</v>
      </c>
      <c r="AM291" s="317">
        <v>10844</v>
      </c>
      <c r="AN291" s="317">
        <v>9871</v>
      </c>
      <c r="AO291" s="318">
        <f>IF(AM291&gt;0,(((AN291-AM291)/AM291)*100),0)</f>
        <v>-8.972703799336038</v>
      </c>
      <c r="AP291" s="317">
        <v>20284</v>
      </c>
      <c r="AQ291" s="317">
        <v>21491</v>
      </c>
      <c r="AR291" s="318">
        <f>IF(AP291&gt;0,(((AQ291-AP291)/AP291)*100),0)</f>
        <v>5.950502859396569</v>
      </c>
      <c r="AS291" s="317">
        <v>14735.5</v>
      </c>
      <c r="AT291" s="317">
        <v>16153</v>
      </c>
      <c r="AU291" s="318">
        <f>IF(AS291&gt;0,(((AT291-AS291)/AS291)*100),0)</f>
        <v>9.6196260730888</v>
      </c>
      <c r="AV291" s="317">
        <v>34187.65</v>
      </c>
      <c r="AW291" s="317">
        <v>35371.5</v>
      </c>
      <c r="AX291" s="318">
        <f>IF(AV291&gt;0,(((AW291-AV291)/AV291)*100),0)</f>
        <v>3.4628001632168295</v>
      </c>
      <c r="AY291" s="317">
        <v>9490.325</v>
      </c>
      <c r="AZ291" s="317">
        <v>10435</v>
      </c>
      <c r="BA291" s="318">
        <f>IF(AY291&gt;0,(((AZ291-AY291)/AY291)*100),0)</f>
        <v>9.954084817959334</v>
      </c>
      <c r="BB291" s="317">
        <v>25003</v>
      </c>
      <c r="BC291" s="317">
        <v>28207</v>
      </c>
      <c r="BD291" s="318">
        <f>IF(BB291&gt;0,(((BC291-BB291)/BB291)*100),0)</f>
        <v>12.814462264528256</v>
      </c>
      <c r="BE291" s="312"/>
      <c r="BF291" s="312"/>
      <c r="BG291" s="312"/>
      <c r="BH291" s="312"/>
      <c r="BI291" s="312"/>
      <c r="BJ291" s="312"/>
      <c r="BK291" s="312"/>
      <c r="BL291" s="312"/>
      <c r="BM291" s="312"/>
      <c r="BN291" s="312"/>
      <c r="BO291" s="312"/>
      <c r="BP291" s="312"/>
      <c r="BQ291" s="312"/>
      <c r="BR291" s="312"/>
      <c r="BS291" s="312"/>
      <c r="BT291" s="312"/>
      <c r="BU291" s="312"/>
      <c r="BV291" s="312"/>
      <c r="BW291" s="312"/>
      <c r="BX291" s="312"/>
      <c r="BY291" s="312"/>
      <c r="BZ291" s="312"/>
      <c r="CA291" s="312"/>
      <c r="CB291" s="312"/>
      <c r="CC291" s="312"/>
      <c r="CD291" s="312"/>
      <c r="CE291" s="312"/>
      <c r="CF291" s="312"/>
      <c r="CG291" s="312"/>
      <c r="CH291" s="312"/>
      <c r="CI291" s="312"/>
      <c r="CJ291" s="312"/>
      <c r="CK291" s="312"/>
      <c r="CL291" s="312"/>
      <c r="CM291" s="312"/>
      <c r="CN291" s="312"/>
      <c r="CO291" s="312"/>
      <c r="CP291" s="312"/>
      <c r="CQ291" s="312"/>
      <c r="CR291" s="312"/>
    </row>
    <row r="292" spans="2:56" s="300" customFormat="1" ht="15.75" customHeight="1">
      <c r="B292" s="331"/>
      <c r="E292" s="325"/>
      <c r="H292" s="325"/>
      <c r="K292" s="325"/>
      <c r="N292" s="325"/>
      <c r="Q292" s="325"/>
      <c r="T292" s="325"/>
      <c r="W292" s="325"/>
      <c r="Z292" s="325"/>
      <c r="AC292" s="325"/>
      <c r="AF292" s="325"/>
      <c r="AI292" s="325"/>
      <c r="AL292" s="325"/>
      <c r="AO292" s="325"/>
      <c r="AR292" s="325"/>
      <c r="AU292" s="325"/>
      <c r="AX292" s="325"/>
      <c r="BA292" s="325"/>
      <c r="BD292" s="325"/>
    </row>
    <row r="293" spans="1:56" s="300" customFormat="1" ht="15.75" customHeight="1">
      <c r="A293" s="326" t="s">
        <v>470</v>
      </c>
      <c r="B293" s="331"/>
      <c r="E293" s="325"/>
      <c r="H293" s="325"/>
      <c r="K293" s="325"/>
      <c r="N293" s="325"/>
      <c r="Q293" s="325"/>
      <c r="T293" s="325"/>
      <c r="W293" s="325"/>
      <c r="Z293" s="325"/>
      <c r="AC293" s="325"/>
      <c r="AF293" s="325"/>
      <c r="AI293" s="325"/>
      <c r="AL293" s="325"/>
      <c r="AO293" s="325"/>
      <c r="AR293" s="325"/>
      <c r="AU293" s="325"/>
      <c r="AX293" s="325"/>
      <c r="BA293" s="325"/>
      <c r="BD293" s="325"/>
    </row>
  </sheetData>
  <printOptions horizontalCentered="1" verticalCentered="1"/>
  <pageMargins left="0.5" right="0.5" top="1" bottom="1" header="0.5" footer="0.75"/>
  <pageSetup horizontalDpi="600" verticalDpi="600" orientation="landscape" pageOrder="overThenDown" scale="86" r:id="rId3"/>
  <headerFooter alignWithMargins="0">
    <oddHeader>&amp;L&amp;"Arial,Bold"&amp;10SREB-State Data Exchange&amp;C&amp;"Arial,Bold"&amp;10Preliminary Tables&amp;R&amp;"Arial,Bold"&amp;10Part 6: Median Annual Tuition and Fees</oddHeader>
    <oddFooter>&amp;L&amp;"Arial,Bold"&amp;10For Agency Review Only&amp;R&amp;"Arial,Bold"&amp;10August 2005</oddFooter>
  </headerFooter>
  <rowBreaks count="15" manualBreakCount="15">
    <brk id="19" min="2" max="55" man="1"/>
    <brk id="36" min="2" max="55" man="1"/>
    <brk id="53" min="2" max="55" man="1"/>
    <brk id="70" max="255" man="1"/>
    <brk id="87" max="255" man="1"/>
    <brk id="104" max="255" man="1"/>
    <brk id="121" max="255" man="1"/>
    <brk id="138" max="255" man="1"/>
    <brk id="155" max="255" man="1"/>
    <brk id="172" max="255" man="1"/>
    <brk id="189" max="255" man="1"/>
    <brk id="206" max="255" man="1"/>
    <brk id="223" min="2" max="55" man="1"/>
    <brk id="240" max="255" man="1"/>
    <brk id="257" max="255" man="1"/>
  </rowBreaks>
  <colBreaks count="2" manualBreakCount="2">
    <brk id="20" min="2" max="273" man="1"/>
    <brk id="38" min="2" max="273" man="1"/>
  </colBreaks>
  <ignoredErrors>
    <ignoredError sqref="N173:N189 BA275:BA290 H3:H119 E3:E119 K173:K189 H190:H217 C291:H291 AI275:AI290 H121:H139 E121:E139 E214:E217 N18:N139 N3:N12 E219:E220 AF275:AF290 H236:H265 AC275:AC290 E268 Z275:Z290 K236:K247 W275:W290 H173:H184 T275:T290 E270:E274 BD275:BD290 E190:E211 E173:E189 H187:H189 K146:K172 E276:E281 N146:N172 E236:E264 E151:E172 K28:K139 AX275:AX290 K258:K291 AU275:AU290 H270:H281 AR275:AR290 H151:H172 AO275:AO290 K3:K26 AL275:AL290 K190:K223 N190:N223 N231:N291" formulaRange="1"/>
  </ignoredErrors>
  <legacyDrawing r:id="rId2"/>
</worksheet>
</file>

<file path=xl/worksheets/sheet3.xml><?xml version="1.0" encoding="utf-8"?>
<worksheet xmlns="http://schemas.openxmlformats.org/spreadsheetml/2006/main" xmlns:r="http://schemas.openxmlformats.org/officeDocument/2006/relationships">
  <sheetPr>
    <tabColor indexed="13"/>
  </sheetPr>
  <dimension ref="A1:J24"/>
  <sheetViews>
    <sheetView view="pageBreakPreview" zoomScale="60" zoomScaleNormal="75" workbookViewId="0" topLeftCell="A4">
      <selection activeCell="D16" sqref="D16"/>
    </sheetView>
  </sheetViews>
  <sheetFormatPr defaultColWidth="8.796875" defaultRowHeight="15"/>
  <cols>
    <col min="1" max="1" width="17.5" style="57" customWidth="1"/>
    <col min="2" max="2" width="16.69921875" style="57" customWidth="1"/>
    <col min="3" max="3" width="26.3984375" style="57" customWidth="1"/>
    <col min="4" max="4" width="18.5" style="57" customWidth="1"/>
    <col min="5" max="5" width="40.3984375" style="57" customWidth="1"/>
    <col min="6" max="6" width="17.3984375" style="57" customWidth="1"/>
    <col min="7" max="7" width="16.19921875" style="58" customWidth="1"/>
    <col min="8" max="8" width="13.8984375" style="57" customWidth="1"/>
    <col min="9" max="9" width="26" style="57" customWidth="1"/>
    <col min="10" max="10" width="26.59765625" style="57" customWidth="1"/>
    <col min="11" max="16384" width="9" style="59" customWidth="1"/>
  </cols>
  <sheetData>
    <row r="1" spans="1:10" s="294" customFormat="1" ht="27" customHeight="1">
      <c r="A1" s="368" t="s">
        <v>527</v>
      </c>
      <c r="B1" s="368"/>
      <c r="C1" s="368"/>
      <c r="D1" s="368"/>
      <c r="E1" s="368"/>
      <c r="G1" s="295" t="s">
        <v>528</v>
      </c>
      <c r="H1" s="295"/>
      <c r="I1" s="295"/>
      <c r="J1" s="295"/>
    </row>
    <row r="2" spans="1:10" s="193" customFormat="1" ht="57.75" customHeight="1">
      <c r="A2" s="55" t="s">
        <v>955</v>
      </c>
      <c r="B2" s="55" t="s">
        <v>405</v>
      </c>
      <c r="C2" s="55" t="s">
        <v>406</v>
      </c>
      <c r="D2" s="56" t="s">
        <v>407</v>
      </c>
      <c r="E2" s="55" t="s">
        <v>408</v>
      </c>
      <c r="F2" s="55" t="s">
        <v>409</v>
      </c>
      <c r="G2" s="56" t="s">
        <v>410</v>
      </c>
      <c r="H2" s="56" t="s">
        <v>411</v>
      </c>
      <c r="I2" s="56" t="s">
        <v>484</v>
      </c>
      <c r="J2" s="56" t="s">
        <v>413</v>
      </c>
    </row>
    <row r="3" spans="1:10" s="198" customFormat="1" ht="101.25">
      <c r="A3" s="194" t="s">
        <v>474</v>
      </c>
      <c r="B3" s="195" t="s">
        <v>1055</v>
      </c>
      <c r="C3" s="196" t="s">
        <v>1056</v>
      </c>
      <c r="D3" s="197" t="s">
        <v>47</v>
      </c>
      <c r="E3" s="196" t="s">
        <v>1061</v>
      </c>
      <c r="F3" s="196" t="s">
        <v>1062</v>
      </c>
      <c r="G3" s="197" t="s">
        <v>1070</v>
      </c>
      <c r="H3" s="197" t="s">
        <v>1071</v>
      </c>
      <c r="I3" s="197" t="s">
        <v>466</v>
      </c>
      <c r="J3" s="197" t="s">
        <v>1059</v>
      </c>
    </row>
    <row r="4" spans="1:10" s="198" customFormat="1" ht="78.75">
      <c r="A4" s="194" t="s">
        <v>481</v>
      </c>
      <c r="B4" s="195" t="s">
        <v>371</v>
      </c>
      <c r="C4" s="196" t="s">
        <v>467</v>
      </c>
      <c r="D4" s="204" t="s">
        <v>1044</v>
      </c>
      <c r="E4" s="196" t="s">
        <v>372</v>
      </c>
      <c r="F4" s="196" t="s">
        <v>468</v>
      </c>
      <c r="G4" s="197" t="s">
        <v>1066</v>
      </c>
      <c r="H4" s="197" t="s">
        <v>1071</v>
      </c>
      <c r="I4" s="197" t="s">
        <v>1067</v>
      </c>
      <c r="J4" s="197" t="s">
        <v>1070</v>
      </c>
    </row>
    <row r="5" spans="1:10" s="198" customFormat="1" ht="45">
      <c r="A5" s="199" t="s">
        <v>943</v>
      </c>
      <c r="B5" s="200" t="s">
        <v>1068</v>
      </c>
      <c r="C5" s="201" t="s">
        <v>1069</v>
      </c>
      <c r="D5" s="204" t="s">
        <v>1044</v>
      </c>
      <c r="E5" s="201" t="s">
        <v>469</v>
      </c>
      <c r="F5" s="201" t="s">
        <v>1062</v>
      </c>
      <c r="G5" s="197" t="s">
        <v>1070</v>
      </c>
      <c r="H5" s="197" t="s">
        <v>1071</v>
      </c>
      <c r="I5" s="197" t="s">
        <v>1072</v>
      </c>
      <c r="J5" s="197" t="s">
        <v>1073</v>
      </c>
    </row>
    <row r="6" spans="1:10" s="198" customFormat="1" ht="135">
      <c r="A6" s="199" t="s">
        <v>475</v>
      </c>
      <c r="B6" s="200" t="s">
        <v>563</v>
      </c>
      <c r="C6" s="201" t="s">
        <v>455</v>
      </c>
      <c r="D6" s="197" t="s">
        <v>215</v>
      </c>
      <c r="E6" s="201" t="s">
        <v>564</v>
      </c>
      <c r="F6" s="201" t="s">
        <v>222</v>
      </c>
      <c r="G6" s="197" t="s">
        <v>476</v>
      </c>
      <c r="H6" s="197" t="s">
        <v>44</v>
      </c>
      <c r="I6" s="197" t="s">
        <v>480</v>
      </c>
      <c r="J6" s="197" t="s">
        <v>565</v>
      </c>
    </row>
    <row r="7" spans="1:10" s="198" customFormat="1" ht="90">
      <c r="A7" s="199" t="s">
        <v>888</v>
      </c>
      <c r="B7" s="202" t="s">
        <v>529</v>
      </c>
      <c r="C7" s="203" t="s">
        <v>369</v>
      </c>
      <c r="D7" s="204" t="s">
        <v>1044</v>
      </c>
      <c r="E7" s="205" t="s">
        <v>483</v>
      </c>
      <c r="F7" s="205" t="s">
        <v>483</v>
      </c>
      <c r="G7" s="197" t="s">
        <v>370</v>
      </c>
      <c r="H7" s="197" t="s">
        <v>45</v>
      </c>
      <c r="I7" s="206"/>
      <c r="J7" s="197" t="s">
        <v>1070</v>
      </c>
    </row>
    <row r="8" spans="1:10" s="198" customFormat="1" ht="194.25" customHeight="1">
      <c r="A8" s="207" t="s">
        <v>486</v>
      </c>
      <c r="B8" s="208" t="s">
        <v>1074</v>
      </c>
      <c r="C8" s="209" t="s">
        <v>40</v>
      </c>
      <c r="D8" s="210" t="s">
        <v>1075</v>
      </c>
      <c r="E8" s="209" t="s">
        <v>1109</v>
      </c>
      <c r="F8" s="209" t="s">
        <v>1060</v>
      </c>
      <c r="G8" s="210" t="s">
        <v>1070</v>
      </c>
      <c r="H8" s="210" t="s">
        <v>1071</v>
      </c>
      <c r="I8" s="210" t="s">
        <v>640</v>
      </c>
      <c r="J8" s="210" t="s">
        <v>461</v>
      </c>
    </row>
    <row r="9" spans="1:10" s="198" customFormat="1" ht="130.5" customHeight="1">
      <c r="A9" s="226"/>
      <c r="B9" s="227"/>
      <c r="C9" s="228"/>
      <c r="D9" s="229"/>
      <c r="E9" s="228" t="s">
        <v>43</v>
      </c>
      <c r="F9" s="228"/>
      <c r="G9" s="229"/>
      <c r="H9" s="230"/>
      <c r="I9" s="229"/>
      <c r="J9" s="230"/>
    </row>
    <row r="10" spans="1:10" s="198" customFormat="1" ht="270">
      <c r="A10" s="194" t="s">
        <v>485</v>
      </c>
      <c r="B10" s="195" t="s">
        <v>641</v>
      </c>
      <c r="C10" s="196" t="s">
        <v>136</v>
      </c>
      <c r="D10" s="206"/>
      <c r="E10" s="196" t="s">
        <v>570</v>
      </c>
      <c r="F10" s="196" t="s">
        <v>137</v>
      </c>
      <c r="G10" s="206" t="s">
        <v>138</v>
      </c>
      <c r="H10" s="197" t="s">
        <v>45</v>
      </c>
      <c r="I10" s="206" t="s">
        <v>910</v>
      </c>
      <c r="J10" s="197" t="s">
        <v>1073</v>
      </c>
    </row>
    <row r="11" spans="1:10" s="213" customFormat="1" ht="157.5">
      <c r="A11" s="194" t="s">
        <v>464</v>
      </c>
      <c r="B11" s="195" t="s">
        <v>465</v>
      </c>
      <c r="C11" s="196" t="s">
        <v>573</v>
      </c>
      <c r="D11" s="211" t="s">
        <v>911</v>
      </c>
      <c r="E11" s="196" t="s">
        <v>912</v>
      </c>
      <c r="F11" s="196" t="s">
        <v>468</v>
      </c>
      <c r="G11" s="212" t="s">
        <v>285</v>
      </c>
      <c r="H11" s="212" t="s">
        <v>1071</v>
      </c>
      <c r="I11" s="211" t="s">
        <v>286</v>
      </c>
      <c r="J11" s="212" t="s">
        <v>1070</v>
      </c>
    </row>
    <row r="12" spans="1:10" s="40" customFormat="1" ht="172.5" customHeight="1">
      <c r="A12" s="194" t="s">
        <v>940</v>
      </c>
      <c r="B12" s="195" t="s">
        <v>287</v>
      </c>
      <c r="C12" s="196" t="s">
        <v>288</v>
      </c>
      <c r="D12" s="197" t="s">
        <v>566</v>
      </c>
      <c r="E12" s="196" t="s">
        <v>289</v>
      </c>
      <c r="F12" s="196" t="s">
        <v>468</v>
      </c>
      <c r="G12" s="197" t="s">
        <v>290</v>
      </c>
      <c r="H12" s="197" t="s">
        <v>1071</v>
      </c>
      <c r="I12" s="197" t="s">
        <v>571</v>
      </c>
      <c r="J12" s="197" t="s">
        <v>291</v>
      </c>
    </row>
    <row r="13" spans="1:10" s="198" customFormat="1" ht="67.5">
      <c r="A13" s="194" t="s">
        <v>941</v>
      </c>
      <c r="B13" s="195" t="s">
        <v>292</v>
      </c>
      <c r="C13" s="196" t="s">
        <v>462</v>
      </c>
      <c r="D13" s="206" t="s">
        <v>1070</v>
      </c>
      <c r="E13" s="196" t="s">
        <v>289</v>
      </c>
      <c r="F13" s="196" t="s">
        <v>332</v>
      </c>
      <c r="G13" s="206" t="s">
        <v>1071</v>
      </c>
      <c r="H13" s="197" t="s">
        <v>1071</v>
      </c>
      <c r="I13" s="196" t="s">
        <v>1050</v>
      </c>
      <c r="J13" s="197" t="s">
        <v>1070</v>
      </c>
    </row>
    <row r="14" spans="1:10" s="40" customFormat="1" ht="90">
      <c r="A14" s="194" t="s">
        <v>1057</v>
      </c>
      <c r="B14" s="195" t="s">
        <v>333</v>
      </c>
      <c r="C14" s="196" t="s">
        <v>572</v>
      </c>
      <c r="D14" s="197" t="s">
        <v>334</v>
      </c>
      <c r="E14" s="196" t="s">
        <v>569</v>
      </c>
      <c r="F14" s="196" t="s">
        <v>468</v>
      </c>
      <c r="G14" s="197" t="s">
        <v>335</v>
      </c>
      <c r="H14" s="197" t="s">
        <v>1071</v>
      </c>
      <c r="I14" s="197" t="s">
        <v>336</v>
      </c>
      <c r="J14" s="197" t="s">
        <v>41</v>
      </c>
    </row>
    <row r="15" spans="1:10" s="198" customFormat="1" ht="101.25">
      <c r="A15" s="194" t="s">
        <v>942</v>
      </c>
      <c r="B15" s="195" t="s">
        <v>337</v>
      </c>
      <c r="C15" s="196" t="s">
        <v>594</v>
      </c>
      <c r="D15" s="206" t="s">
        <v>216</v>
      </c>
      <c r="E15" s="196" t="s">
        <v>338</v>
      </c>
      <c r="F15" s="196" t="s">
        <v>339</v>
      </c>
      <c r="G15" s="206" t="s">
        <v>1070</v>
      </c>
      <c r="H15" s="197" t="s">
        <v>45</v>
      </c>
      <c r="I15" s="206" t="s">
        <v>217</v>
      </c>
      <c r="J15" s="197" t="s">
        <v>1070</v>
      </c>
    </row>
    <row r="16" spans="1:10" s="198" customFormat="1" ht="225">
      <c r="A16" s="194" t="s">
        <v>944</v>
      </c>
      <c r="B16" s="214" t="s">
        <v>340</v>
      </c>
      <c r="C16" s="214" t="s">
        <v>913</v>
      </c>
      <c r="D16" s="214" t="s">
        <v>914</v>
      </c>
      <c r="E16" s="214" t="s">
        <v>918</v>
      </c>
      <c r="F16" s="214" t="s">
        <v>358</v>
      </c>
      <c r="G16" s="215" t="s">
        <v>482</v>
      </c>
      <c r="H16" s="216" t="s">
        <v>1071</v>
      </c>
      <c r="I16" s="215" t="s">
        <v>482</v>
      </c>
      <c r="J16" s="216" t="s">
        <v>1070</v>
      </c>
    </row>
    <row r="17" spans="1:10" s="198" customFormat="1" ht="112.5">
      <c r="A17" s="194" t="s">
        <v>945</v>
      </c>
      <c r="B17" s="217" t="s">
        <v>359</v>
      </c>
      <c r="C17" s="196" t="s">
        <v>360</v>
      </c>
      <c r="D17" s="206"/>
      <c r="E17" s="196" t="s">
        <v>964</v>
      </c>
      <c r="F17" s="205" t="s">
        <v>965</v>
      </c>
      <c r="G17" s="206"/>
      <c r="H17" s="216" t="s">
        <v>45</v>
      </c>
      <c r="I17" s="206"/>
      <c r="J17" s="197" t="s">
        <v>1070</v>
      </c>
    </row>
    <row r="18" spans="1:10" s="218" customFormat="1" ht="90">
      <c r="A18" s="194" t="s">
        <v>939</v>
      </c>
      <c r="B18" s="195" t="s">
        <v>966</v>
      </c>
      <c r="C18" s="196" t="s">
        <v>218</v>
      </c>
      <c r="D18" s="196" t="s">
        <v>46</v>
      </c>
      <c r="E18" s="196" t="s">
        <v>967</v>
      </c>
      <c r="F18" s="196" t="s">
        <v>468</v>
      </c>
      <c r="G18" s="206"/>
      <c r="H18" s="197" t="s">
        <v>1071</v>
      </c>
      <c r="I18" s="196" t="s">
        <v>972</v>
      </c>
      <c r="J18" s="197" t="s">
        <v>1073</v>
      </c>
    </row>
    <row r="19" spans="1:10" s="218" customFormat="1" ht="33.75">
      <c r="A19" s="194" t="s">
        <v>530</v>
      </c>
      <c r="B19" s="195" t="s">
        <v>482</v>
      </c>
      <c r="C19" s="196"/>
      <c r="D19" s="196"/>
      <c r="E19" s="196"/>
      <c r="F19" s="196"/>
      <c r="G19" s="206"/>
      <c r="H19" s="197"/>
      <c r="I19" s="196"/>
      <c r="J19" s="197"/>
    </row>
    <row r="20" spans="1:10" s="198" customFormat="1" ht="168.75">
      <c r="A20" s="194" t="s">
        <v>946</v>
      </c>
      <c r="B20" s="217" t="s">
        <v>589</v>
      </c>
      <c r="C20" s="196" t="s">
        <v>332</v>
      </c>
      <c r="D20" s="206"/>
      <c r="E20" s="196" t="s">
        <v>590</v>
      </c>
      <c r="F20" s="205" t="s">
        <v>978</v>
      </c>
      <c r="G20" s="206" t="s">
        <v>454</v>
      </c>
      <c r="H20" s="197" t="s">
        <v>1071</v>
      </c>
      <c r="I20" s="206" t="s">
        <v>1017</v>
      </c>
      <c r="J20" s="197" t="s">
        <v>1070</v>
      </c>
    </row>
    <row r="21" spans="1:10" s="198" customFormat="1" ht="135">
      <c r="A21" s="194" t="s">
        <v>948</v>
      </c>
      <c r="B21" s="219" t="s">
        <v>979</v>
      </c>
      <c r="C21" s="220" t="s">
        <v>980</v>
      </c>
      <c r="D21" s="206"/>
      <c r="E21" s="220" t="s">
        <v>374</v>
      </c>
      <c r="F21" s="220" t="s">
        <v>375</v>
      </c>
      <c r="G21" s="197" t="s">
        <v>376</v>
      </c>
      <c r="H21" s="197" t="s">
        <v>1071</v>
      </c>
      <c r="I21" s="206"/>
      <c r="J21" s="197" t="s">
        <v>1073</v>
      </c>
    </row>
    <row r="22" spans="1:10" s="198" customFormat="1" ht="225">
      <c r="A22" s="194" t="s">
        <v>463</v>
      </c>
      <c r="B22" s="219" t="s">
        <v>713</v>
      </c>
      <c r="C22" s="220" t="s">
        <v>1058</v>
      </c>
      <c r="D22" s="206" t="s">
        <v>714</v>
      </c>
      <c r="E22" s="220" t="s">
        <v>920</v>
      </c>
      <c r="F22" s="220" t="s">
        <v>42</v>
      </c>
      <c r="G22" s="197" t="s">
        <v>921</v>
      </c>
      <c r="H22" s="197" t="s">
        <v>44</v>
      </c>
      <c r="I22" s="206" t="s">
        <v>915</v>
      </c>
      <c r="J22" s="197" t="s">
        <v>916</v>
      </c>
    </row>
    <row r="23" spans="1:10" s="198" customFormat="1" ht="168.75">
      <c r="A23" s="194" t="s">
        <v>947</v>
      </c>
      <c r="B23" s="195" t="s">
        <v>592</v>
      </c>
      <c r="C23" s="220" t="s">
        <v>219</v>
      </c>
      <c r="D23" s="221" t="s">
        <v>373</v>
      </c>
      <c r="E23" s="196" t="s">
        <v>935</v>
      </c>
      <c r="F23" s="196" t="s">
        <v>938</v>
      </c>
      <c r="G23" s="197" t="s">
        <v>936</v>
      </c>
      <c r="H23" s="197" t="s">
        <v>1071</v>
      </c>
      <c r="I23" s="197" t="s">
        <v>654</v>
      </c>
      <c r="J23" s="197" t="s">
        <v>937</v>
      </c>
    </row>
    <row r="24" spans="1:10" s="225" customFormat="1" ht="122.25" customHeight="1">
      <c r="A24" s="222" t="s">
        <v>660</v>
      </c>
      <c r="B24" s="223" t="s">
        <v>661</v>
      </c>
      <c r="C24" s="223" t="s">
        <v>220</v>
      </c>
      <c r="D24" s="224" t="s">
        <v>662</v>
      </c>
      <c r="E24" s="223" t="s">
        <v>377</v>
      </c>
      <c r="F24" s="223" t="s">
        <v>468</v>
      </c>
      <c r="G24" s="224" t="s">
        <v>378</v>
      </c>
      <c r="H24" s="224" t="s">
        <v>1071</v>
      </c>
      <c r="I24" s="224" t="s">
        <v>221</v>
      </c>
      <c r="J24" s="224" t="s">
        <v>663</v>
      </c>
    </row>
  </sheetData>
  <mergeCells count="1">
    <mergeCell ref="A1:E1"/>
  </mergeCells>
  <printOptions horizontalCentered="1"/>
  <pageMargins left="0.5" right="0.5" top="0.9" bottom="0.5" header="0.75" footer="0.25"/>
  <pageSetup firstPageNumber="167" useFirstPageNumber="1" horizontalDpi="600" verticalDpi="600" orientation="landscape" r:id="rId3"/>
  <headerFooter alignWithMargins="0">
    <oddHeader>&amp;R&amp;"Arial,Regular"&amp;8SREB-State Data Exchange</oddHeader>
    <oddFooter>&amp;C&amp;"Arial,Regular"&amp;10&amp;P&amp;R&amp;"Arial,Regular"&amp;8December 2005</oddFooter>
  </headerFooter>
  <legacyDrawing r:id="rId2"/>
</worksheet>
</file>

<file path=xl/worksheets/sheet4.xml><?xml version="1.0" encoding="utf-8"?>
<worksheet xmlns="http://schemas.openxmlformats.org/spreadsheetml/2006/main" xmlns:r="http://schemas.openxmlformats.org/officeDocument/2006/relationships">
  <sheetPr>
    <tabColor indexed="16"/>
  </sheetPr>
  <dimension ref="A1:L32"/>
  <sheetViews>
    <sheetView showZeros="0" zoomScale="75" zoomScaleNormal="75" zoomScaleSheetLayoutView="75" workbookViewId="0" topLeftCell="A1">
      <selection activeCell="H37" sqref="H37"/>
    </sheetView>
  </sheetViews>
  <sheetFormatPr defaultColWidth="8.796875" defaultRowHeight="15"/>
  <cols>
    <col min="1" max="2" width="13.3984375" style="20" customWidth="1"/>
    <col min="3" max="3" width="15" style="20" customWidth="1"/>
    <col min="4" max="4" width="8.5" style="20" customWidth="1"/>
    <col min="5" max="7" width="13.09765625" style="20" customWidth="1"/>
    <col min="8" max="8" width="10" style="20" customWidth="1"/>
    <col min="9" max="9" width="13.19921875" style="20" customWidth="1"/>
    <col min="10" max="10" width="4.09765625" style="170" customWidth="1"/>
    <col min="11" max="11" width="9" style="170" customWidth="1"/>
    <col min="12" max="12" width="9.19921875" style="170" bestFit="1" customWidth="1"/>
    <col min="13" max="16384" width="9" style="170" customWidth="1"/>
  </cols>
  <sheetData>
    <row r="1" spans="1:9" ht="18">
      <c r="A1" s="38" t="s">
        <v>541</v>
      </c>
      <c r="B1" s="38"/>
      <c r="C1" s="38"/>
      <c r="D1" s="38"/>
      <c r="E1" s="38"/>
      <c r="F1" s="96"/>
      <c r="G1" s="96"/>
      <c r="H1" s="96"/>
      <c r="I1" s="96"/>
    </row>
    <row r="2" spans="1:9" s="179" customFormat="1" ht="12.75">
      <c r="A2" s="175"/>
      <c r="B2" s="175"/>
      <c r="C2" s="175"/>
      <c r="D2" s="175"/>
      <c r="E2" s="175"/>
      <c r="F2" s="178"/>
      <c r="G2" s="178"/>
      <c r="H2" s="178"/>
      <c r="I2" s="178"/>
    </row>
    <row r="3" spans="1:9" ht="15.75">
      <c r="A3" s="39" t="s">
        <v>593</v>
      </c>
      <c r="B3" s="39"/>
      <c r="C3" s="39"/>
      <c r="D3" s="39"/>
      <c r="E3" s="39"/>
      <c r="F3" s="96"/>
      <c r="G3" s="96"/>
      <c r="H3" s="96"/>
      <c r="I3" s="96"/>
    </row>
    <row r="4" spans="1:9" ht="15.75">
      <c r="A4" s="39" t="s">
        <v>703</v>
      </c>
      <c r="B4" s="39"/>
      <c r="C4" s="39"/>
      <c r="D4" s="39"/>
      <c r="E4" s="39"/>
      <c r="F4" s="39"/>
      <c r="G4" s="39"/>
      <c r="H4" s="39"/>
      <c r="I4" s="96"/>
    </row>
    <row r="5" spans="1:9" ht="9.75" customHeight="1">
      <c r="A5" s="233"/>
      <c r="B5" s="88"/>
      <c r="C5" s="88"/>
      <c r="D5" s="88"/>
      <c r="E5" s="88"/>
      <c r="F5" s="97"/>
      <c r="G5" s="97"/>
      <c r="H5" s="97"/>
      <c r="I5" s="97"/>
    </row>
    <row r="6" spans="1:9" s="179" customFormat="1" ht="15.75" customHeight="1">
      <c r="A6" s="6"/>
      <c r="B6" s="187" t="s">
        <v>977</v>
      </c>
      <c r="C6" s="187"/>
      <c r="D6" s="187"/>
      <c r="E6" s="187"/>
      <c r="F6" s="188" t="s">
        <v>595</v>
      </c>
      <c r="G6" s="189"/>
      <c r="H6" s="188" t="s">
        <v>540</v>
      </c>
      <c r="I6" s="189"/>
    </row>
    <row r="7" spans="1:9" s="179" customFormat="1" ht="15.75" customHeight="1">
      <c r="A7" s="6"/>
      <c r="B7" s="191" t="s">
        <v>401</v>
      </c>
      <c r="C7" s="191"/>
      <c r="D7" s="192" t="s">
        <v>402</v>
      </c>
      <c r="E7" s="191"/>
      <c r="F7" s="173" t="s">
        <v>976</v>
      </c>
      <c r="G7" s="174"/>
      <c r="H7" s="173" t="s">
        <v>539</v>
      </c>
      <c r="I7" s="174"/>
    </row>
    <row r="8" spans="1:9" s="179" customFormat="1" ht="15.75" customHeight="1">
      <c r="A8" s="86"/>
      <c r="B8" s="87" t="s">
        <v>974</v>
      </c>
      <c r="C8" s="87" t="s">
        <v>975</v>
      </c>
      <c r="D8" s="85" t="s">
        <v>974</v>
      </c>
      <c r="E8" s="87" t="s">
        <v>975</v>
      </c>
      <c r="F8" s="85" t="s">
        <v>974</v>
      </c>
      <c r="G8" s="87" t="s">
        <v>975</v>
      </c>
      <c r="H8" s="85" t="s">
        <v>974</v>
      </c>
      <c r="I8" s="87" t="s">
        <v>975</v>
      </c>
    </row>
    <row r="9" spans="1:9" ht="15.75" customHeight="1">
      <c r="A9" s="3" t="s">
        <v>419</v>
      </c>
      <c r="B9" s="89" t="s">
        <v>460</v>
      </c>
      <c r="C9" s="98" t="s">
        <v>460</v>
      </c>
      <c r="D9" s="89" t="s">
        <v>460</v>
      </c>
      <c r="E9" s="98" t="s">
        <v>460</v>
      </c>
      <c r="F9" s="89" t="s">
        <v>460</v>
      </c>
      <c r="G9" s="98" t="s">
        <v>460</v>
      </c>
      <c r="H9" s="89" t="s">
        <v>460</v>
      </c>
      <c r="I9" s="89" t="s">
        <v>460</v>
      </c>
    </row>
    <row r="10" spans="1:9" ht="15">
      <c r="A10" s="3" t="s">
        <v>420</v>
      </c>
      <c r="B10" s="89" t="s">
        <v>460</v>
      </c>
      <c r="C10" s="93" t="s">
        <v>460</v>
      </c>
      <c r="D10" s="89" t="s">
        <v>460</v>
      </c>
      <c r="E10" s="93" t="s">
        <v>460</v>
      </c>
      <c r="F10" s="89" t="s">
        <v>460</v>
      </c>
      <c r="G10" s="93" t="s">
        <v>460</v>
      </c>
      <c r="H10" s="94" t="s">
        <v>460</v>
      </c>
      <c r="I10" s="94" t="s">
        <v>460</v>
      </c>
    </row>
    <row r="11" spans="1:9" ht="15">
      <c r="A11" s="3" t="s">
        <v>1031</v>
      </c>
      <c r="B11" s="89" t="s">
        <v>460</v>
      </c>
      <c r="C11" s="93" t="s">
        <v>460</v>
      </c>
      <c r="D11" s="89" t="s">
        <v>460</v>
      </c>
      <c r="E11" s="93" t="s">
        <v>460</v>
      </c>
      <c r="F11" s="89" t="s">
        <v>460</v>
      </c>
      <c r="G11" s="93" t="s">
        <v>460</v>
      </c>
      <c r="H11" s="94" t="s">
        <v>1122</v>
      </c>
      <c r="I11" s="94" t="s">
        <v>1122</v>
      </c>
    </row>
    <row r="12" spans="1:9" ht="15">
      <c r="A12" s="7" t="s">
        <v>421</v>
      </c>
      <c r="B12" s="89" t="s">
        <v>460</v>
      </c>
      <c r="C12" s="93" t="s">
        <v>460</v>
      </c>
      <c r="D12" s="89" t="s">
        <v>460</v>
      </c>
      <c r="E12" s="93" t="s">
        <v>460</v>
      </c>
      <c r="F12" s="89" t="s">
        <v>460</v>
      </c>
      <c r="G12" s="93" t="s">
        <v>460</v>
      </c>
      <c r="H12" s="90" t="s">
        <v>963</v>
      </c>
      <c r="I12" s="90" t="s">
        <v>963</v>
      </c>
    </row>
    <row r="13" spans="1:9" ht="15">
      <c r="A13" s="7"/>
      <c r="B13" s="90"/>
      <c r="C13" s="91"/>
      <c r="D13" s="92"/>
      <c r="E13" s="91"/>
      <c r="F13" s="94"/>
      <c r="G13" s="91"/>
      <c r="H13" s="94"/>
      <c r="I13" s="89"/>
    </row>
    <row r="14" spans="1:9" ht="15">
      <c r="A14" s="7" t="s">
        <v>422</v>
      </c>
      <c r="B14" s="89" t="s">
        <v>460</v>
      </c>
      <c r="C14" s="93" t="s">
        <v>460</v>
      </c>
      <c r="D14" s="89" t="s">
        <v>460</v>
      </c>
      <c r="E14" s="93" t="s">
        <v>460</v>
      </c>
      <c r="F14" s="89" t="s">
        <v>460</v>
      </c>
      <c r="G14" s="93" t="s">
        <v>460</v>
      </c>
      <c r="H14" s="94" t="s">
        <v>460</v>
      </c>
      <c r="I14" s="94" t="s">
        <v>460</v>
      </c>
    </row>
    <row r="15" spans="1:12" ht="15">
      <c r="A15" s="7" t="s">
        <v>423</v>
      </c>
      <c r="B15" s="89" t="s">
        <v>460</v>
      </c>
      <c r="C15" s="93" t="s">
        <v>460</v>
      </c>
      <c r="D15" s="89" t="s">
        <v>460</v>
      </c>
      <c r="E15" s="93" t="s">
        <v>460</v>
      </c>
      <c r="F15" s="89" t="s">
        <v>460</v>
      </c>
      <c r="G15" s="93" t="s">
        <v>460</v>
      </c>
      <c r="H15" s="94" t="s">
        <v>460</v>
      </c>
      <c r="I15" s="94" t="s">
        <v>460</v>
      </c>
      <c r="L15" s="362"/>
    </row>
    <row r="16" spans="1:9" ht="15">
      <c r="A16" s="7" t="s">
        <v>424</v>
      </c>
      <c r="B16" s="89" t="s">
        <v>460</v>
      </c>
      <c r="C16" s="93" t="s">
        <v>460</v>
      </c>
      <c r="D16" s="89" t="s">
        <v>460</v>
      </c>
      <c r="E16" s="93" t="s">
        <v>460</v>
      </c>
      <c r="F16" s="89" t="s">
        <v>460</v>
      </c>
      <c r="G16" s="93" t="s">
        <v>460</v>
      </c>
      <c r="H16" s="94" t="s">
        <v>460</v>
      </c>
      <c r="I16" s="94" t="s">
        <v>460</v>
      </c>
    </row>
    <row r="17" spans="1:9" ht="15">
      <c r="A17" s="3" t="s">
        <v>425</v>
      </c>
      <c r="B17" s="89" t="s">
        <v>460</v>
      </c>
      <c r="C17" s="93" t="s">
        <v>460</v>
      </c>
      <c r="D17" s="89" t="s">
        <v>460</v>
      </c>
      <c r="E17" s="93" t="s">
        <v>460</v>
      </c>
      <c r="F17" s="89" t="s">
        <v>460</v>
      </c>
      <c r="G17" s="93" t="s">
        <v>460</v>
      </c>
      <c r="H17" s="94" t="s">
        <v>1122</v>
      </c>
      <c r="I17" s="94" t="s">
        <v>1122</v>
      </c>
    </row>
    <row r="18" spans="1:12" ht="15">
      <c r="A18" s="7"/>
      <c r="B18" s="90"/>
      <c r="C18" s="91"/>
      <c r="D18" s="92"/>
      <c r="E18" s="91"/>
      <c r="F18" s="94"/>
      <c r="G18" s="91"/>
      <c r="H18" s="94"/>
      <c r="I18" s="89"/>
      <c r="L18" s="171"/>
    </row>
    <row r="19" spans="1:9" ht="15">
      <c r="A19" s="7" t="s">
        <v>426</v>
      </c>
      <c r="B19" s="89" t="s">
        <v>460</v>
      </c>
      <c r="C19" s="93" t="s">
        <v>460</v>
      </c>
      <c r="D19" s="89" t="s">
        <v>460</v>
      </c>
      <c r="E19" s="93" t="s">
        <v>460</v>
      </c>
      <c r="F19" s="89" t="s">
        <v>460</v>
      </c>
      <c r="G19" s="93" t="s">
        <v>460</v>
      </c>
      <c r="H19" s="94" t="s">
        <v>1122</v>
      </c>
      <c r="I19" s="94" t="s">
        <v>1122</v>
      </c>
    </row>
    <row r="20" spans="1:9" ht="18.75" customHeight="1">
      <c r="A20" s="7" t="s">
        <v>427</v>
      </c>
      <c r="B20" s="89" t="s">
        <v>460</v>
      </c>
      <c r="C20" s="93" t="s">
        <v>460</v>
      </c>
      <c r="D20" s="89" t="s">
        <v>460</v>
      </c>
      <c r="E20" s="93" t="s">
        <v>460</v>
      </c>
      <c r="F20" s="89" t="s">
        <v>460</v>
      </c>
      <c r="G20" s="93" t="s">
        <v>460</v>
      </c>
      <c r="H20" s="94" t="s">
        <v>1122</v>
      </c>
      <c r="I20" s="94" t="s">
        <v>1122</v>
      </c>
    </row>
    <row r="21" spans="1:10" ht="15">
      <c r="A21" s="3" t="s">
        <v>428</v>
      </c>
      <c r="B21" s="89" t="s">
        <v>460</v>
      </c>
      <c r="C21" s="93" t="s">
        <v>460</v>
      </c>
      <c r="D21" s="89" t="s">
        <v>460</v>
      </c>
      <c r="E21" s="93" t="s">
        <v>460</v>
      </c>
      <c r="F21" s="89" t="s">
        <v>460</v>
      </c>
      <c r="G21" s="93" t="s">
        <v>460</v>
      </c>
      <c r="H21" s="94" t="s">
        <v>460</v>
      </c>
      <c r="I21" s="94" t="s">
        <v>460</v>
      </c>
      <c r="J21" s="170" t="s">
        <v>595</v>
      </c>
    </row>
    <row r="22" spans="1:9" ht="15">
      <c r="A22" s="364" t="s">
        <v>429</v>
      </c>
      <c r="B22" s="89" t="s">
        <v>460</v>
      </c>
      <c r="C22" s="93" t="s">
        <v>460</v>
      </c>
      <c r="D22" s="89" t="s">
        <v>460</v>
      </c>
      <c r="E22" s="93" t="s">
        <v>460</v>
      </c>
      <c r="F22" s="89" t="s">
        <v>460</v>
      </c>
      <c r="G22" s="93" t="s">
        <v>460</v>
      </c>
      <c r="H22" s="94" t="s">
        <v>1122</v>
      </c>
      <c r="I22" s="94" t="s">
        <v>1122</v>
      </c>
    </row>
    <row r="23" spans="1:9" ht="15">
      <c r="A23" s="3"/>
      <c r="B23" s="89"/>
      <c r="C23" s="93"/>
      <c r="D23" s="94"/>
      <c r="E23" s="93"/>
      <c r="F23" s="94"/>
      <c r="G23" s="91"/>
      <c r="H23" s="94"/>
      <c r="I23" s="89"/>
    </row>
    <row r="24" spans="1:9" ht="15">
      <c r="A24" s="7" t="s">
        <v>430</v>
      </c>
      <c r="B24" s="89" t="s">
        <v>460</v>
      </c>
      <c r="C24" s="93" t="s">
        <v>460</v>
      </c>
      <c r="D24" s="89" t="s">
        <v>460</v>
      </c>
      <c r="E24" s="93" t="s">
        <v>460</v>
      </c>
      <c r="F24" s="89" t="s">
        <v>460</v>
      </c>
      <c r="G24" s="93" t="s">
        <v>460</v>
      </c>
      <c r="H24" s="94" t="s">
        <v>1122</v>
      </c>
      <c r="I24" s="94" t="s">
        <v>1122</v>
      </c>
    </row>
    <row r="25" spans="1:9" ht="15">
      <c r="A25" s="3" t="s">
        <v>431</v>
      </c>
      <c r="B25" s="89" t="s">
        <v>293</v>
      </c>
      <c r="C25" s="93" t="s">
        <v>293</v>
      </c>
      <c r="D25" s="89" t="s">
        <v>293</v>
      </c>
      <c r="E25" s="93" t="s">
        <v>293</v>
      </c>
      <c r="F25" s="89" t="s">
        <v>293</v>
      </c>
      <c r="G25" s="93" t="s">
        <v>293</v>
      </c>
      <c r="H25" s="94" t="s">
        <v>1122</v>
      </c>
      <c r="I25" s="94" t="s">
        <v>1122</v>
      </c>
    </row>
    <row r="26" spans="1:9" ht="15">
      <c r="A26" s="3" t="s">
        <v>432</v>
      </c>
      <c r="B26" s="89" t="s">
        <v>460</v>
      </c>
      <c r="C26" s="93" t="s">
        <v>460</v>
      </c>
      <c r="D26" s="89" t="s">
        <v>460</v>
      </c>
      <c r="E26" s="93" t="s">
        <v>460</v>
      </c>
      <c r="F26" s="89" t="s">
        <v>460</v>
      </c>
      <c r="G26" s="93" t="s">
        <v>460</v>
      </c>
      <c r="H26" s="94" t="s">
        <v>460</v>
      </c>
      <c r="I26" s="94" t="s">
        <v>460</v>
      </c>
    </row>
    <row r="27" spans="1:9" ht="25.5" customHeight="1">
      <c r="A27" s="363" t="s">
        <v>433</v>
      </c>
      <c r="B27" s="358" t="s">
        <v>1120</v>
      </c>
      <c r="C27" s="359" t="s">
        <v>1120</v>
      </c>
      <c r="D27" s="231" t="s">
        <v>460</v>
      </c>
      <c r="E27" s="232" t="s">
        <v>460</v>
      </c>
      <c r="F27" s="360" t="s">
        <v>1121</v>
      </c>
      <c r="G27" s="361" t="s">
        <v>1121</v>
      </c>
      <c r="H27" s="99" t="s">
        <v>963</v>
      </c>
      <c r="I27" s="99" t="s">
        <v>963</v>
      </c>
    </row>
    <row r="28" spans="1:9" ht="20.25" customHeight="1">
      <c r="A28" s="95" t="s">
        <v>459</v>
      </c>
      <c r="B28" s="92"/>
      <c r="C28" s="92"/>
      <c r="D28" s="92"/>
      <c r="E28" s="92"/>
      <c r="F28" s="94"/>
      <c r="G28" s="92"/>
      <c r="H28" s="94"/>
      <c r="I28" s="94"/>
    </row>
    <row r="29" spans="1:7" ht="15">
      <c r="A29" s="95" t="s">
        <v>962</v>
      </c>
      <c r="B29" s="12"/>
      <c r="C29" s="12"/>
      <c r="D29" s="12"/>
      <c r="E29" s="12"/>
      <c r="G29" s="100"/>
    </row>
    <row r="30" spans="1:9" ht="15">
      <c r="A30" s="369"/>
      <c r="B30" s="370"/>
      <c r="C30" s="370"/>
      <c r="D30" s="370"/>
      <c r="E30" s="370"/>
      <c r="F30" s="370"/>
      <c r="G30" s="370"/>
      <c r="H30" s="370"/>
      <c r="I30" s="101"/>
    </row>
    <row r="31" ht="15">
      <c r="G31" s="100"/>
    </row>
    <row r="32" ht="45.75" customHeight="1">
      <c r="G32" s="100"/>
    </row>
  </sheetData>
  <mergeCells count="1">
    <mergeCell ref="A30:H30"/>
  </mergeCells>
  <printOptions horizontalCentered="1"/>
  <pageMargins left="0.75" right="0.75" top="0.9" bottom="0.84" header="0.75" footer="0.5"/>
  <pageSetup firstPageNumber="159" useFirstPageNumber="1" horizontalDpi="600" verticalDpi="600" orientation="landscape" r:id="rId1"/>
  <headerFooter alignWithMargins="0">
    <oddHeader>&amp;R&amp;"Arial,Regular"&amp;8SREB-State Data Exchange</oddHeader>
    <oddFooter>&amp;C&amp;"Arial,Regular"&amp;10 158&amp;R&amp;"Arial,Regular"&amp;8December 2005</oddFooter>
  </headerFooter>
</worksheet>
</file>

<file path=xl/worksheets/sheet5.xml><?xml version="1.0" encoding="utf-8"?>
<worksheet xmlns="http://schemas.openxmlformats.org/spreadsheetml/2006/main" xmlns:r="http://schemas.openxmlformats.org/officeDocument/2006/relationships">
  <sheetPr>
    <tabColor indexed="16"/>
  </sheetPr>
  <dimension ref="A1:K33"/>
  <sheetViews>
    <sheetView showGridLines="0" showZeros="0" workbookViewId="0" topLeftCell="A1">
      <selection activeCell="B16" sqref="B16"/>
    </sheetView>
  </sheetViews>
  <sheetFormatPr defaultColWidth="8.796875" defaultRowHeight="15"/>
  <cols>
    <col min="1" max="1" width="18" style="0" customWidth="1"/>
    <col min="2" max="7" width="8.59765625" style="0" customWidth="1"/>
    <col min="8" max="8" width="8.59765625" style="26" customWidth="1"/>
  </cols>
  <sheetData>
    <row r="1" spans="1:8" ht="18">
      <c r="A1" s="38" t="s">
        <v>477</v>
      </c>
      <c r="B1" s="38"/>
      <c r="C1" s="38"/>
      <c r="D1" s="38"/>
      <c r="E1" s="38"/>
      <c r="F1" s="38"/>
      <c r="G1" s="38"/>
      <c r="H1" s="38"/>
    </row>
    <row r="2" spans="1:8" s="176" customFormat="1" ht="12.75">
      <c r="A2" s="175"/>
      <c r="B2" s="175"/>
      <c r="C2" s="175"/>
      <c r="D2" s="175"/>
      <c r="E2" s="175"/>
      <c r="F2" s="175"/>
      <c r="G2" s="175"/>
      <c r="H2" s="175"/>
    </row>
    <row r="3" spans="1:8" ht="15.75">
      <c r="A3" s="39" t="s">
        <v>416</v>
      </c>
      <c r="B3" s="39"/>
      <c r="C3" s="39"/>
      <c r="D3" s="39"/>
      <c r="E3" s="39"/>
      <c r="F3" s="39"/>
      <c r="G3" s="39"/>
      <c r="H3" s="39"/>
    </row>
    <row r="4" spans="1:8" ht="15.75">
      <c r="A4" s="39" t="s">
        <v>417</v>
      </c>
      <c r="B4" s="39"/>
      <c r="C4" s="39"/>
      <c r="D4" s="39"/>
      <c r="E4" s="39"/>
      <c r="F4" s="39"/>
      <c r="G4" s="39"/>
      <c r="H4" s="39"/>
    </row>
    <row r="5" spans="1:8" ht="15.75">
      <c r="A5" s="39" t="s">
        <v>702</v>
      </c>
      <c r="B5" s="39"/>
      <c r="C5" s="39"/>
      <c r="D5" s="39"/>
      <c r="E5" s="39"/>
      <c r="F5" s="39"/>
      <c r="G5" s="39"/>
      <c r="H5" s="39"/>
    </row>
    <row r="6" spans="1:8" s="176" customFormat="1" ht="12.75">
      <c r="A6" s="3"/>
      <c r="B6" s="3"/>
      <c r="C6" s="3"/>
      <c r="D6" s="3"/>
      <c r="E6" s="3"/>
      <c r="F6" s="3"/>
      <c r="G6" s="3"/>
      <c r="H6" s="6"/>
    </row>
    <row r="7" spans="1:10" ht="15.75">
      <c r="A7" s="4"/>
      <c r="B7" s="5" t="s">
        <v>418</v>
      </c>
      <c r="C7" s="5"/>
      <c r="D7" s="5"/>
      <c r="E7" s="5"/>
      <c r="F7" s="5"/>
      <c r="G7" s="5"/>
      <c r="H7" s="5"/>
      <c r="J7" t="s">
        <v>949</v>
      </c>
    </row>
    <row r="8" spans="1:11" s="15" customFormat="1" ht="27" customHeight="1">
      <c r="A8" s="239"/>
      <c r="B8" s="237">
        <v>1</v>
      </c>
      <c r="C8" s="237">
        <v>2</v>
      </c>
      <c r="D8" s="237">
        <v>3</v>
      </c>
      <c r="E8" s="237">
        <v>4</v>
      </c>
      <c r="F8" s="237">
        <v>5</v>
      </c>
      <c r="G8" s="237">
        <v>6</v>
      </c>
      <c r="H8" s="241" t="s">
        <v>949</v>
      </c>
      <c r="J8" s="345" t="s">
        <v>969</v>
      </c>
      <c r="K8" s="345" t="s">
        <v>968</v>
      </c>
    </row>
    <row r="9" spans="1:11" ht="12.75" customHeight="1">
      <c r="A9" s="6"/>
      <c r="B9" s="12"/>
      <c r="C9" s="12"/>
      <c r="D9" s="12"/>
      <c r="E9" s="12"/>
      <c r="F9" s="12"/>
      <c r="G9" s="72"/>
      <c r="H9" s="12"/>
      <c r="J9" s="346"/>
      <c r="K9" s="346"/>
    </row>
    <row r="10" spans="1:11" ht="12.75" customHeight="1">
      <c r="A10" s="7" t="s">
        <v>973</v>
      </c>
      <c r="B10" s="27">
        <f>+'Summary Medians'!$D$275</f>
        <v>4749</v>
      </c>
      <c r="C10" s="27">
        <f>+'Summary Medians'!$D$276</f>
        <v>4379</v>
      </c>
      <c r="D10" s="27">
        <f>+'Summary Medians'!$D$277</f>
        <v>3996</v>
      </c>
      <c r="E10" s="27">
        <f>+'Summary Medians'!$D$278</f>
        <v>3869.5</v>
      </c>
      <c r="F10" s="27">
        <f>+'Summary Medians'!$D$279</f>
        <v>3833</v>
      </c>
      <c r="G10" s="27">
        <f>+'Summary Medians'!$D$280</f>
        <v>3625</v>
      </c>
      <c r="H10" s="28">
        <f>+'Summary Medians'!$D$281</f>
        <v>4043</v>
      </c>
      <c r="J10" s="347">
        <f>(H10-K10)/K10</f>
        <v>0.10464480874316939</v>
      </c>
      <c r="K10" s="348">
        <f>+'Summary Medians'!C281</f>
        <v>3660</v>
      </c>
    </row>
    <row r="11" spans="1:11" ht="12.75" customHeight="1">
      <c r="A11" s="7"/>
      <c r="B11" s="49"/>
      <c r="C11" s="49"/>
      <c r="D11" s="49"/>
      <c r="E11" s="49"/>
      <c r="F11" s="49"/>
      <c r="G11" s="51"/>
      <c r="H11" s="49"/>
      <c r="J11" s="347"/>
      <c r="K11" s="348"/>
    </row>
    <row r="12" spans="1:11" ht="12.75" customHeight="1">
      <c r="A12" s="3" t="s">
        <v>419</v>
      </c>
      <c r="B12" s="31">
        <f>+'Summary Medians'!$D$3</f>
        <v>4662</v>
      </c>
      <c r="C12" s="31">
        <f>+'Summary Medians'!$D$4</f>
        <v>4516</v>
      </c>
      <c r="D12" s="31">
        <f>+'Summary Medians'!$D$5</f>
        <v>4290</v>
      </c>
      <c r="E12" s="31">
        <f>+'Summary Medians'!$D$6</f>
        <v>4129</v>
      </c>
      <c r="F12" s="31">
        <f>+'Summary Medians'!$D$7</f>
        <v>4179</v>
      </c>
      <c r="G12" s="31">
        <f>+'Summary Medians'!$D$8</f>
        <v>3870</v>
      </c>
      <c r="H12" s="32">
        <f>+'Summary Medians'!$D$9</f>
        <v>4243</v>
      </c>
      <c r="J12" s="347">
        <f aca="true" t="shared" si="0" ref="J12:J30">(H12-K12)/K12</f>
        <v>0.10437272254034358</v>
      </c>
      <c r="K12" s="348">
        <f>+'Summary Medians'!C9</f>
        <v>3842</v>
      </c>
    </row>
    <row r="13" spans="1:11" ht="12.75" customHeight="1">
      <c r="A13" s="3" t="s">
        <v>420</v>
      </c>
      <c r="B13" s="31">
        <f>+'Summary Medians'!$D$20</f>
        <v>5135</v>
      </c>
      <c r="C13" s="31">
        <f>+'Summary Medians'!$D$21</f>
        <v>0</v>
      </c>
      <c r="D13" s="31">
        <f>+'Summary Medians'!$D$22</f>
        <v>5053</v>
      </c>
      <c r="E13" s="31">
        <f>+'Summary Medians'!$D$23</f>
        <v>0</v>
      </c>
      <c r="F13" s="31">
        <f>+'Summary Medians'!$D$24</f>
        <v>4168</v>
      </c>
      <c r="G13" s="31">
        <f>+'Summary Medians'!$D$25</f>
        <v>3834</v>
      </c>
      <c r="H13" s="32">
        <f>+'Summary Medians'!$D$26</f>
        <v>4468</v>
      </c>
      <c r="J13" s="347">
        <f t="shared" si="0"/>
        <v>0.1602181251622955</v>
      </c>
      <c r="K13" s="348">
        <f>+'Summary Medians'!C26</f>
        <v>3851</v>
      </c>
    </row>
    <row r="14" spans="1:11" ht="12.75" customHeight="1">
      <c r="A14" s="3" t="s">
        <v>1031</v>
      </c>
      <c r="B14" s="31">
        <f>+'Summary Medians'!$D$37</f>
        <v>6954</v>
      </c>
      <c r="C14" s="31">
        <f>+'Summary Medians'!$D$38</f>
        <v>0</v>
      </c>
      <c r="D14" s="31">
        <f>+'Summary Medians'!$D$39</f>
        <v>0</v>
      </c>
      <c r="E14" s="31">
        <f>+'Summary Medians'!$D$40</f>
        <v>4976</v>
      </c>
      <c r="F14" s="31">
        <f>+'Summary Medians'!$D$41</f>
        <v>0</v>
      </c>
      <c r="G14" s="31">
        <f>+'Summary Medians'!$D$42</f>
        <v>0</v>
      </c>
      <c r="H14" s="32">
        <f>+'Summary Medians'!$D$43</f>
        <v>5965</v>
      </c>
      <c r="J14" s="347">
        <f t="shared" si="0"/>
        <v>0.10524365388178618</v>
      </c>
      <c r="K14" s="348">
        <f>+'Summary Medians'!C43</f>
        <v>5397</v>
      </c>
    </row>
    <row r="15" spans="1:11" s="69" customFormat="1" ht="12.75" customHeight="1">
      <c r="A15" s="9" t="s">
        <v>421</v>
      </c>
      <c r="B15" s="29">
        <f>+'Summary Medians'!$D$54</f>
        <v>3037.5</v>
      </c>
      <c r="C15" s="29">
        <f>+'Summary Medians'!$D$55</f>
        <v>3157.6</v>
      </c>
      <c r="D15" s="29">
        <f>+'Summary Medians'!$D$56</f>
        <v>3063.7</v>
      </c>
      <c r="E15" s="29">
        <f>+'Summary Medians'!$D$57</f>
        <v>0</v>
      </c>
      <c r="F15" s="29">
        <f>+'Summary Medians'!$D$58</f>
        <v>3150.5</v>
      </c>
      <c r="G15" s="29">
        <f>+'Summary Medians'!$D$59</f>
        <v>2876.7</v>
      </c>
      <c r="H15" s="30">
        <f>+'Summary Medians'!$D$60</f>
        <v>3092.1</v>
      </c>
      <c r="J15" s="347">
        <f t="shared" si="0"/>
        <v>0.063161875945537</v>
      </c>
      <c r="K15" s="348">
        <f>+'Summary Medians'!C60</f>
        <v>2908.4</v>
      </c>
    </row>
    <row r="16" spans="1:11" s="69" customFormat="1" ht="12.75" customHeight="1">
      <c r="A16" s="9"/>
      <c r="B16" s="29"/>
      <c r="C16" s="29"/>
      <c r="D16" s="29"/>
      <c r="E16" s="29"/>
      <c r="F16" s="29"/>
      <c r="G16" s="29"/>
      <c r="H16" s="30"/>
      <c r="J16" s="347"/>
      <c r="K16" s="348"/>
    </row>
    <row r="17" spans="1:11" ht="12.75" customHeight="1">
      <c r="A17" s="7" t="s">
        <v>422</v>
      </c>
      <c r="B17" s="29">
        <f>+'Summary Medians'!$D$71</f>
        <v>4213</v>
      </c>
      <c r="C17" s="29">
        <f>+'Summary Medians'!$D$72</f>
        <v>4278</v>
      </c>
      <c r="D17" s="29">
        <f>+'Summary Medians'!$D$73</f>
        <v>3049</v>
      </c>
      <c r="E17" s="29">
        <f>+'Summary Medians'!$D$74</f>
        <v>2897</v>
      </c>
      <c r="F17" s="29">
        <f>+'Summary Medians'!$D$75</f>
        <v>2904</v>
      </c>
      <c r="G17" s="29">
        <f>+'Summary Medians'!$D$76</f>
        <v>2802</v>
      </c>
      <c r="H17" s="30">
        <f>+'Summary Medians'!$D$77</f>
        <v>2906</v>
      </c>
      <c r="J17" s="347">
        <f t="shared" si="0"/>
        <v>0.04382183908045977</v>
      </c>
      <c r="K17" s="348">
        <f>+'Summary Medians'!C77</f>
        <v>2784</v>
      </c>
    </row>
    <row r="18" spans="1:11" ht="12.75" customHeight="1">
      <c r="A18" s="3" t="s">
        <v>423</v>
      </c>
      <c r="B18" s="31">
        <f>+'Summary Medians'!$D$88</f>
        <v>5164</v>
      </c>
      <c r="C18" s="31">
        <f>+'Summary Medians'!$D$89</f>
        <v>5040</v>
      </c>
      <c r="D18" s="31">
        <f>+'Summary Medians'!$D$90</f>
        <v>3984</v>
      </c>
      <c r="E18" s="31">
        <f>+'Summary Medians'!$D$91</f>
        <v>4104</v>
      </c>
      <c r="F18" s="31">
        <f>+'Summary Medians'!$D$92</f>
        <v>3834</v>
      </c>
      <c r="G18" s="31">
        <f>+'Summary Medians'!$D$93</f>
        <v>0</v>
      </c>
      <c r="H18" s="32">
        <f>+'Summary Medians'!$D$94</f>
        <v>4176</v>
      </c>
      <c r="J18" s="347">
        <f t="shared" si="0"/>
        <v>0.16323119777158773</v>
      </c>
      <c r="K18" s="348">
        <f>+'Summary Medians'!C94</f>
        <v>3590</v>
      </c>
    </row>
    <row r="19" spans="1:11" ht="12.75" customHeight="1">
      <c r="A19" s="3" t="s">
        <v>424</v>
      </c>
      <c r="B19" s="29">
        <f>+'Summary Medians'!$D$105</f>
        <v>4292</v>
      </c>
      <c r="C19" s="29">
        <f>+'Summary Medians'!$D$106</f>
        <v>3459</v>
      </c>
      <c r="D19" s="29">
        <f>+'Summary Medians'!$D$107</f>
        <v>3440</v>
      </c>
      <c r="E19" s="29">
        <f>+'Summary Medians'!$D$108</f>
        <v>3090</v>
      </c>
      <c r="F19" s="29">
        <f>+'Summary Medians'!$D$109</f>
        <v>3056</v>
      </c>
      <c r="G19" s="29">
        <f>+'Summary Medians'!$D$110</f>
        <v>0</v>
      </c>
      <c r="H19" s="30">
        <f>+'Summary Medians'!$D$111</f>
        <v>3240</v>
      </c>
      <c r="J19" s="347">
        <f t="shared" si="0"/>
        <v>0.10655737704918032</v>
      </c>
      <c r="K19" s="348">
        <f>+'Summary Medians'!C111</f>
        <v>2928</v>
      </c>
    </row>
    <row r="20" spans="1:11" ht="12.75" customHeight="1">
      <c r="A20" s="7" t="s">
        <v>425</v>
      </c>
      <c r="B20" s="29">
        <f>+'Summary Medians'!$D$122</f>
        <v>7410</v>
      </c>
      <c r="C20" s="29">
        <f>+'Summary Medians'!$D$123</f>
        <v>8020</v>
      </c>
      <c r="D20" s="29">
        <f>+'Summary Medians'!$D$124</f>
        <v>6672</v>
      </c>
      <c r="E20" s="29">
        <f>+'Summary Medians'!$D$125</f>
        <v>5774</v>
      </c>
      <c r="F20" s="29">
        <f>+'Summary Medians'!$D$126</f>
        <v>4454</v>
      </c>
      <c r="G20" s="29">
        <f>+'Summary Medians'!$D$127</f>
        <v>9617</v>
      </c>
      <c r="H20" s="30">
        <f>+'Summary Medians'!$D$128</f>
        <v>5976</v>
      </c>
      <c r="J20" s="347">
        <f t="shared" si="0"/>
        <v>0.07404744787922359</v>
      </c>
      <c r="K20" s="348">
        <f>+'Summary Medians'!C128</f>
        <v>5564</v>
      </c>
    </row>
    <row r="21" spans="1:11" ht="12.75" customHeight="1">
      <c r="A21" s="7"/>
      <c r="B21" s="29"/>
      <c r="C21" s="29"/>
      <c r="D21" s="29"/>
      <c r="E21" s="29"/>
      <c r="F21" s="29"/>
      <c r="G21" s="29"/>
      <c r="H21" s="30"/>
      <c r="J21" s="347"/>
      <c r="K21" s="348"/>
    </row>
    <row r="22" spans="1:11" ht="12.75" customHeight="1">
      <c r="A22" s="3" t="s">
        <v>426</v>
      </c>
      <c r="B22" s="31">
        <f>+'Summary Medians'!$D$139</f>
        <v>4105</v>
      </c>
      <c r="C22" s="31">
        <f>+'Summary Medians'!$D$140</f>
        <v>4107.5</v>
      </c>
      <c r="D22" s="31">
        <f>+'Summary Medians'!$D$141</f>
        <v>3841</v>
      </c>
      <c r="E22" s="31">
        <f>+'Summary Medians'!$D$142</f>
        <v>3657</v>
      </c>
      <c r="F22" s="31">
        <f>+'Summary Medians'!$D$143</f>
        <v>3663.5</v>
      </c>
      <c r="G22" s="31">
        <f>+'Summary Medians'!$D$144</f>
        <v>0</v>
      </c>
      <c r="H22" s="32">
        <f>+'Summary Medians'!$D$145</f>
        <v>3836.5</v>
      </c>
      <c r="J22" s="347">
        <f t="shared" si="0"/>
        <v>0.08513647291755055</v>
      </c>
      <c r="K22" s="348">
        <f>+'Summary Medians'!C145</f>
        <v>3535.5</v>
      </c>
    </row>
    <row r="23" spans="1:11" ht="12.75" customHeight="1">
      <c r="A23" s="3" t="s">
        <v>427</v>
      </c>
      <c r="B23" s="31">
        <f>+'Summary Medians'!$D$156</f>
        <v>4366.5</v>
      </c>
      <c r="C23" s="31">
        <f>+'Summary Medians'!$D$157</f>
        <v>3435</v>
      </c>
      <c r="D23" s="31">
        <f>+'Summary Medians'!$D$158</f>
        <v>3273</v>
      </c>
      <c r="E23" s="31">
        <f>+'Summary Medians'!$D$159</f>
        <v>2521</v>
      </c>
      <c r="F23" s="31">
        <f>+'Summary Medians'!$D$160</f>
        <v>2825</v>
      </c>
      <c r="G23" s="31">
        <f>+'Summary Medians'!$D$161</f>
        <v>2675</v>
      </c>
      <c r="H23" s="32">
        <f>+'Summary Medians'!$D$162</f>
        <v>3273</v>
      </c>
      <c r="J23" s="347">
        <f t="shared" si="0"/>
        <v>0.11820977109668603</v>
      </c>
      <c r="K23" s="348">
        <f>+'Summary Medians'!C162</f>
        <v>2927</v>
      </c>
    </row>
    <row r="24" spans="1:11" ht="12.75" customHeight="1">
      <c r="A24" s="3" t="s">
        <v>428</v>
      </c>
      <c r="B24" s="31">
        <f>+'Summary Medians'!$D$173</f>
        <v>4110</v>
      </c>
      <c r="C24" s="31">
        <f>+'Summary Medians'!$D$174</f>
        <v>0</v>
      </c>
      <c r="D24" s="31">
        <f>+'Summary Medians'!$D$175</f>
        <v>3011</v>
      </c>
      <c r="E24" s="31">
        <f>+'Summary Medians'!$D$176</f>
        <v>3000</v>
      </c>
      <c r="F24" s="31">
        <f>+'Summary Medians'!$D$177</f>
        <v>3000</v>
      </c>
      <c r="G24" s="31">
        <f>+'Summary Medians'!$D$178</f>
        <v>3003</v>
      </c>
      <c r="H24" s="32">
        <f>+'Summary Medians'!$D$179</f>
        <v>3007</v>
      </c>
      <c r="J24" s="347">
        <f t="shared" si="0"/>
        <v>0.08821134533610785</v>
      </c>
      <c r="K24" s="348">
        <f>+'Summary Medians'!C179</f>
        <v>2763.25</v>
      </c>
    </row>
    <row r="25" spans="1:11" ht="12.75" customHeight="1">
      <c r="A25" s="3" t="s">
        <v>429</v>
      </c>
      <c r="B25" s="31">
        <f>+'Summary Medians'!$D$190</f>
        <v>7128</v>
      </c>
      <c r="C25" s="31">
        <f>+'Summary Medians'!$D$191</f>
        <v>7816</v>
      </c>
      <c r="D25" s="31">
        <f>+'Summary Medians'!$D$192</f>
        <v>6051</v>
      </c>
      <c r="E25" s="31">
        <f>+'Summary Medians'!$D$193</f>
        <v>6051</v>
      </c>
      <c r="F25" s="31">
        <f>+'Summary Medians'!$D$194</f>
        <v>5866</v>
      </c>
      <c r="G25" s="31">
        <f>+'Summary Medians'!$D$195</f>
        <v>6060</v>
      </c>
      <c r="H25" s="32">
        <f>+'Summary Medians'!$D$196</f>
        <v>6100</v>
      </c>
      <c r="J25" s="347">
        <f t="shared" si="0"/>
        <v>0.11721611721611722</v>
      </c>
      <c r="K25" s="348">
        <f>+'Summary Medians'!C196</f>
        <v>5460</v>
      </c>
    </row>
    <row r="26" spans="1:11" ht="12.75" customHeight="1">
      <c r="A26" s="3"/>
      <c r="B26" s="31"/>
      <c r="C26" s="31"/>
      <c r="D26" s="31"/>
      <c r="E26" s="31"/>
      <c r="F26" s="31"/>
      <c r="G26" s="31"/>
      <c r="H26" s="32"/>
      <c r="J26" s="347"/>
      <c r="K26" s="348"/>
    </row>
    <row r="27" spans="1:11" ht="12.75" customHeight="1">
      <c r="A27" s="3" t="s">
        <v>430</v>
      </c>
      <c r="B27" s="31">
        <f>+'Summary Medians'!$D$207</f>
        <v>4749</v>
      </c>
      <c r="C27" s="31">
        <f>+'Summary Medians'!$D$208</f>
        <v>4480</v>
      </c>
      <c r="D27" s="31">
        <f>+'Summary Medians'!$D$209</f>
        <v>4076</v>
      </c>
      <c r="E27" s="31">
        <f>+'Summary Medians'!$D$210</f>
        <v>4097</v>
      </c>
      <c r="F27" s="31">
        <f>+'Summary Medians'!$D$211</f>
        <v>4134</v>
      </c>
      <c r="G27" s="31">
        <f>+'Summary Medians'!$D$212</f>
        <v>0</v>
      </c>
      <c r="H27" s="32">
        <f>+'Summary Medians'!$D$213</f>
        <v>4134</v>
      </c>
      <c r="J27" s="347">
        <f t="shared" si="0"/>
        <v>0.07320872274143302</v>
      </c>
      <c r="K27" s="348">
        <f>+'Summary Medians'!C213</f>
        <v>3852</v>
      </c>
    </row>
    <row r="28" spans="1:11" ht="12.75" customHeight="1">
      <c r="A28" s="3" t="s">
        <v>431</v>
      </c>
      <c r="B28" s="31">
        <f>+'Summary Medians'!$D$224</f>
        <v>5848</v>
      </c>
      <c r="C28" s="31">
        <f>+'Summary Medians'!$D$225</f>
        <v>5300</v>
      </c>
      <c r="D28" s="31">
        <f>+'Summary Medians'!$D$226</f>
        <v>4182</v>
      </c>
      <c r="E28" s="31">
        <f>+'Summary Medians'!$D$227</f>
        <v>3633</v>
      </c>
      <c r="F28" s="31">
        <f>+'Summary Medians'!$D$228</f>
        <v>4005</v>
      </c>
      <c r="G28" s="31">
        <f>+'Summary Medians'!$D$229</f>
        <v>4278.45</v>
      </c>
      <c r="H28" s="32">
        <f>+'Summary Medians'!$D$230</f>
        <v>4182</v>
      </c>
      <c r="J28" s="347">
        <f t="shared" si="0"/>
        <v>0.09190600522193211</v>
      </c>
      <c r="K28" s="348">
        <f>+'Summary Medians'!C230</f>
        <v>3830</v>
      </c>
    </row>
    <row r="29" spans="1:11" ht="12.75" customHeight="1">
      <c r="A29" s="3" t="s">
        <v>1037</v>
      </c>
      <c r="B29" s="31">
        <f>+'Summary Medians'!$D$241</f>
        <v>6219</v>
      </c>
      <c r="C29" s="31">
        <f>+'Summary Medians'!$D$242</f>
        <v>5358</v>
      </c>
      <c r="D29" s="31">
        <f>+'Summary Medians'!$D$243</f>
        <v>5119</v>
      </c>
      <c r="E29" s="31">
        <f>+'Summary Medians'!$D$244</f>
        <v>4544</v>
      </c>
      <c r="F29" s="31">
        <f>+'Summary Medians'!$D$245</f>
        <v>6441</v>
      </c>
      <c r="G29" s="31">
        <f>+'Summary Medians'!$D$246</f>
        <v>4954.5</v>
      </c>
      <c r="H29" s="32">
        <f>+'Summary Medians'!$D$247</f>
        <v>5291</v>
      </c>
      <c r="J29" s="347">
        <f t="shared" si="0"/>
        <v>0.08012656935796672</v>
      </c>
      <c r="K29" s="348">
        <f>+'Summary Medians'!C247</f>
        <v>4898.5</v>
      </c>
    </row>
    <row r="30" spans="1:11" ht="12.75" customHeight="1">
      <c r="A30" s="10" t="s">
        <v>433</v>
      </c>
      <c r="B30" s="33">
        <f>+'Summary Medians'!$D$258</f>
        <v>3938</v>
      </c>
      <c r="C30" s="33">
        <f>+'Summary Medians'!$D$259</f>
        <v>0</v>
      </c>
      <c r="D30" s="33">
        <f>+'Summary Medians'!$D$260</f>
        <v>3818</v>
      </c>
      <c r="E30" s="33">
        <f>+'Summary Medians'!$D$261</f>
        <v>0</v>
      </c>
      <c r="F30" s="33">
        <f>+'Summary Medians'!$D$262</f>
        <v>0</v>
      </c>
      <c r="G30" s="33">
        <f>+'Summary Medians'!$D$263</f>
        <v>3484</v>
      </c>
      <c r="H30" s="34">
        <f>+'Summary Medians'!$D$264</f>
        <v>3621</v>
      </c>
      <c r="J30" s="347">
        <f t="shared" si="0"/>
        <v>0.14299242424242425</v>
      </c>
      <c r="K30" s="348">
        <f>+'Summary Medians'!C264</f>
        <v>3168</v>
      </c>
    </row>
    <row r="31" spans="1:8" ht="6.75" customHeight="1">
      <c r="A31" s="6"/>
      <c r="B31" s="12"/>
      <c r="C31" s="12"/>
      <c r="D31" s="12"/>
      <c r="E31" s="12"/>
      <c r="F31" s="12"/>
      <c r="G31" s="12"/>
      <c r="H31" s="12"/>
    </row>
    <row r="32" spans="1:8" ht="15.75">
      <c r="A32" s="21" t="s">
        <v>412</v>
      </c>
      <c r="B32" s="1"/>
      <c r="C32" s="1"/>
      <c r="D32" s="1"/>
      <c r="E32" s="1"/>
      <c r="F32" s="1"/>
      <c r="G32" s="1"/>
      <c r="H32" s="2"/>
    </row>
    <row r="33" spans="1:8" ht="36.75" customHeight="1">
      <c r="A33" s="371" t="s">
        <v>1019</v>
      </c>
      <c r="B33" s="371"/>
      <c r="C33" s="371"/>
      <c r="D33" s="371"/>
      <c r="E33" s="371"/>
      <c r="F33" s="371"/>
      <c r="G33" s="371"/>
      <c r="H33" s="371"/>
    </row>
  </sheetData>
  <mergeCells count="1">
    <mergeCell ref="A33:H33"/>
  </mergeCells>
  <printOptions horizontalCentered="1"/>
  <pageMargins left="0.75" right="0.75" top="1" bottom="1" header="0.75" footer="0.5"/>
  <pageSetup horizontalDpi="600" verticalDpi="600" orientation="landscape" r:id="rId1"/>
  <headerFooter alignWithMargins="0">
    <oddHeader>&amp;R&amp;"Arial,Regular"&amp;8SREB-State Data Exchange</oddHeader>
    <oddFooter>&amp;C&amp;"Arial,Regular"&amp;10 159&amp;R&amp;"Arial,Regular"&amp;8December 2005</oddFooter>
  </headerFooter>
</worksheet>
</file>

<file path=xl/worksheets/sheet6.xml><?xml version="1.0" encoding="utf-8"?>
<worksheet xmlns="http://schemas.openxmlformats.org/spreadsheetml/2006/main" xmlns:r="http://schemas.openxmlformats.org/officeDocument/2006/relationships">
  <sheetPr>
    <tabColor indexed="16"/>
  </sheetPr>
  <dimension ref="A1:P33"/>
  <sheetViews>
    <sheetView showZeros="0" view="pageBreakPreview" zoomScaleNormal="75" zoomScaleSheetLayoutView="100" workbookViewId="0" topLeftCell="A1">
      <selection activeCell="J33" sqref="J33"/>
    </sheetView>
  </sheetViews>
  <sheetFormatPr defaultColWidth="8.796875" defaultRowHeight="15"/>
  <cols>
    <col min="1" max="1" width="16.8984375" style="0" customWidth="1"/>
    <col min="2" max="8" width="8.59765625" style="0" customWidth="1"/>
    <col min="10" max="10" width="8.09765625" style="0" customWidth="1"/>
  </cols>
  <sheetData>
    <row r="1" spans="1:10" ht="18">
      <c r="A1" s="372" t="s">
        <v>478</v>
      </c>
      <c r="B1" s="372"/>
      <c r="C1" s="372"/>
      <c r="D1" s="372"/>
      <c r="E1" s="372"/>
      <c r="F1" s="372"/>
      <c r="G1" s="372"/>
      <c r="H1" s="372"/>
      <c r="I1" s="372"/>
      <c r="J1" s="372"/>
    </row>
    <row r="2" spans="1:10" s="176" customFormat="1" ht="7.5" customHeight="1">
      <c r="A2" s="177"/>
      <c r="B2" s="177"/>
      <c r="C2" s="177"/>
      <c r="D2" s="177"/>
      <c r="E2" s="177"/>
      <c r="F2" s="177"/>
      <c r="G2" s="177"/>
      <c r="H2" s="177"/>
      <c r="I2" s="177"/>
      <c r="J2" s="177"/>
    </row>
    <row r="3" spans="1:10" ht="15.75">
      <c r="A3" s="373" t="s">
        <v>416</v>
      </c>
      <c r="B3" s="373"/>
      <c r="C3" s="373"/>
      <c r="D3" s="373"/>
      <c r="E3" s="373"/>
      <c r="F3" s="373"/>
      <c r="G3" s="373"/>
      <c r="H3" s="373"/>
      <c r="I3" s="373"/>
      <c r="J3" s="373"/>
    </row>
    <row r="4" spans="1:10" ht="15.75">
      <c r="A4" s="373" t="s">
        <v>417</v>
      </c>
      <c r="B4" s="373"/>
      <c r="C4" s="373"/>
      <c r="D4" s="373"/>
      <c r="E4" s="373"/>
      <c r="F4" s="373"/>
      <c r="G4" s="373"/>
      <c r="H4" s="373"/>
      <c r="I4" s="373"/>
      <c r="J4" s="373"/>
    </row>
    <row r="5" spans="1:10" ht="15.75">
      <c r="A5" s="373" t="s">
        <v>701</v>
      </c>
      <c r="B5" s="373"/>
      <c r="C5" s="373"/>
      <c r="D5" s="373"/>
      <c r="E5" s="373"/>
      <c r="F5" s="373"/>
      <c r="G5" s="373"/>
      <c r="H5" s="373"/>
      <c r="I5" s="373"/>
      <c r="J5" s="373"/>
    </row>
    <row r="6" spans="1:10" s="176" customFormat="1" ht="9" customHeight="1">
      <c r="A6" s="3"/>
      <c r="B6" s="3"/>
      <c r="C6" s="3"/>
      <c r="D6" s="3"/>
      <c r="E6" s="3"/>
      <c r="F6" s="3"/>
      <c r="G6" s="3"/>
      <c r="H6" s="3"/>
      <c r="I6" s="3"/>
      <c r="J6" s="3"/>
    </row>
    <row r="7" spans="1:16" ht="15.75">
      <c r="A7" s="4"/>
      <c r="B7" s="5" t="s">
        <v>471</v>
      </c>
      <c r="C7" s="5"/>
      <c r="D7" s="5"/>
      <c r="E7" s="5"/>
      <c r="F7" s="63"/>
      <c r="G7" s="62" t="s">
        <v>1049</v>
      </c>
      <c r="H7" s="5"/>
      <c r="I7" s="5"/>
      <c r="J7" s="19"/>
      <c r="L7" s="346" t="s">
        <v>971</v>
      </c>
      <c r="M7" s="346"/>
      <c r="N7" s="346"/>
      <c r="O7" s="346" t="s">
        <v>970</v>
      </c>
      <c r="P7" s="346"/>
    </row>
    <row r="8" spans="1:16" s="15" customFormat="1" ht="30" customHeight="1">
      <c r="A8" s="239"/>
      <c r="B8" s="79" t="s">
        <v>456</v>
      </c>
      <c r="C8" s="237">
        <v>1</v>
      </c>
      <c r="D8" s="237">
        <v>2</v>
      </c>
      <c r="E8" s="237">
        <v>3</v>
      </c>
      <c r="F8" s="240" t="s">
        <v>949</v>
      </c>
      <c r="G8" s="237">
        <v>1</v>
      </c>
      <c r="H8" s="237">
        <v>2</v>
      </c>
      <c r="I8" s="64" t="s">
        <v>1043</v>
      </c>
      <c r="J8" s="241" t="s">
        <v>949</v>
      </c>
      <c r="L8" s="345" t="s">
        <v>969</v>
      </c>
      <c r="M8" s="345" t="s">
        <v>968</v>
      </c>
      <c r="N8" s="345"/>
      <c r="O8" s="345" t="s">
        <v>969</v>
      </c>
      <c r="P8" s="345" t="s">
        <v>968</v>
      </c>
    </row>
    <row r="9" spans="1:16" ht="12.75" customHeight="1">
      <c r="A9" s="7" t="s">
        <v>973</v>
      </c>
      <c r="B9" s="27">
        <f>'Summary Medians'!D282</f>
        <v>1668</v>
      </c>
      <c r="C9" s="27">
        <f>'Summary Medians'!D283</f>
        <v>1740</v>
      </c>
      <c r="D9" s="27">
        <f>'Summary Medians'!D284</f>
        <v>1748</v>
      </c>
      <c r="E9" s="27">
        <f>'Summary Medians'!D285</f>
        <v>1980</v>
      </c>
      <c r="F9" s="41">
        <f>+'Summary Medians'!$D$286</f>
        <v>1785</v>
      </c>
      <c r="G9" s="28">
        <f>+'Summary Medians'!$D$287</f>
        <v>1149</v>
      </c>
      <c r="H9" s="60">
        <f>+'Summary Medians'!$D$288</f>
        <v>1752</v>
      </c>
      <c r="I9" s="73">
        <f>+'Summary Medians'!$D$289</f>
        <v>927</v>
      </c>
      <c r="J9" s="28">
        <f>+'Summary Medians'!$D$290</f>
        <v>1146</v>
      </c>
      <c r="L9" s="347">
        <f>(F9-M9)/M9</f>
        <v>0.05309734513274336</v>
      </c>
      <c r="M9" s="348">
        <f>+'Summary Medians'!C286</f>
        <v>1695</v>
      </c>
      <c r="N9" s="346"/>
      <c r="O9" s="347">
        <f>(J9-P9)/P9</f>
        <v>0.032432432432432434</v>
      </c>
      <c r="P9" s="348">
        <f>+'Summary Medians'!C290</f>
        <v>1110</v>
      </c>
    </row>
    <row r="10" spans="1:16" ht="6.75" customHeight="1">
      <c r="A10" s="7"/>
      <c r="B10" s="49"/>
      <c r="C10" s="49"/>
      <c r="D10" s="49"/>
      <c r="E10" s="49"/>
      <c r="F10" s="42"/>
      <c r="G10" s="30"/>
      <c r="H10" s="61"/>
      <c r="I10" s="66"/>
      <c r="J10" s="30"/>
      <c r="L10" s="347"/>
      <c r="M10" s="348"/>
      <c r="N10" s="346"/>
      <c r="O10" s="347"/>
      <c r="P10" s="348"/>
    </row>
    <row r="11" spans="1:16" ht="12.75" customHeight="1">
      <c r="A11" s="3" t="s">
        <v>419</v>
      </c>
      <c r="B11" s="31">
        <f>'Summary Medians'!D10</f>
        <v>0</v>
      </c>
      <c r="C11" s="31">
        <f>'Summary Medians'!D11</f>
        <v>2700</v>
      </c>
      <c r="D11" s="31">
        <f>'Summary Medians'!D12</f>
        <v>2700</v>
      </c>
      <c r="E11" s="31">
        <f>'Summary Medians'!D13</f>
        <v>2700</v>
      </c>
      <c r="F11" s="43">
        <f>+'Summary Medians'!$D$14</f>
        <v>2700</v>
      </c>
      <c r="G11" s="32">
        <f>+'Summary Medians'!$D$15</f>
        <v>2700</v>
      </c>
      <c r="H11" s="35">
        <f>+'Summary Medians'!$D$16</f>
        <v>2700</v>
      </c>
      <c r="I11" s="65">
        <f>+'Summary Medians'!$D$17</f>
        <v>0</v>
      </c>
      <c r="J11" s="32">
        <f>+'Summary Medians'!$D$18</f>
        <v>2700</v>
      </c>
      <c r="L11" s="347">
        <f aca="true" t="shared" si="0" ref="L11:L29">(F11-M11)/M11</f>
        <v>0.07142857142857142</v>
      </c>
      <c r="M11" s="348">
        <f>+'Summary Medians'!C14</f>
        <v>2520</v>
      </c>
      <c r="N11" s="346"/>
      <c r="O11" s="347">
        <f>(J11-P11)/P11</f>
        <v>0.07142857142857142</v>
      </c>
      <c r="P11" s="348">
        <f>+'Summary Medians'!C18</f>
        <v>2520</v>
      </c>
    </row>
    <row r="12" spans="1:16" ht="12.75" customHeight="1">
      <c r="A12" s="3" t="s">
        <v>420</v>
      </c>
      <c r="B12" s="31">
        <f>'Summary Medians'!D27</f>
        <v>2430</v>
      </c>
      <c r="C12" s="31">
        <f>'Summary Medians'!D28</f>
        <v>0</v>
      </c>
      <c r="D12" s="31">
        <f>'Summary Medians'!D29</f>
        <v>2160</v>
      </c>
      <c r="E12" s="31">
        <f>'Summary Medians'!D30</f>
        <v>1738</v>
      </c>
      <c r="F12" s="43">
        <f>+'Summary Medians'!$D$31</f>
        <v>1760</v>
      </c>
      <c r="G12" s="32">
        <f>+'Summary Medians'!$D$32</f>
        <v>0</v>
      </c>
      <c r="H12" s="35">
        <f>+'Summary Medians'!$D$33</f>
        <v>0</v>
      </c>
      <c r="I12" s="65">
        <f>+'Summary Medians'!$D$34</f>
        <v>0</v>
      </c>
      <c r="J12" s="32">
        <f>+'Summary Medians'!$D$35</f>
        <v>0</v>
      </c>
      <c r="L12" s="347">
        <f t="shared" si="0"/>
        <v>0.06666666666666667</v>
      </c>
      <c r="M12" s="348">
        <f>+'Summary Medians'!C31</f>
        <v>1650</v>
      </c>
      <c r="N12" s="346"/>
      <c r="O12" s="347"/>
      <c r="P12" s="348"/>
    </row>
    <row r="13" spans="1:16" ht="12.75" customHeight="1">
      <c r="A13" s="3" t="s">
        <v>1031</v>
      </c>
      <c r="B13" s="31">
        <f>'Summary Medians'!D44</f>
        <v>0</v>
      </c>
      <c r="C13" s="31">
        <f>'Summary Medians'!D45</f>
        <v>0</v>
      </c>
      <c r="D13" s="31">
        <f>'Summary Medians'!D46</f>
        <v>2088</v>
      </c>
      <c r="E13" s="31">
        <f>'Summary Medians'!D47</f>
        <v>2088</v>
      </c>
      <c r="F13" s="43">
        <f>+'Summary Medians'!$D$48</f>
        <v>2088</v>
      </c>
      <c r="G13" s="32">
        <f>+'Summary Medians'!$D$49</f>
        <v>0</v>
      </c>
      <c r="H13" s="35">
        <f>+'Summary Medians'!$D$50</f>
        <v>0</v>
      </c>
      <c r="I13" s="65">
        <f>+'Summary Medians'!$D$51</f>
        <v>0</v>
      </c>
      <c r="J13" s="32">
        <f>+'Summary Medians'!$D$52</f>
        <v>0</v>
      </c>
      <c r="L13" s="347">
        <f t="shared" si="0"/>
        <v>0.08074534161490683</v>
      </c>
      <c r="M13" s="348">
        <f>+'Summary Medians'!C48</f>
        <v>1932</v>
      </c>
      <c r="N13" s="346"/>
      <c r="O13" s="347"/>
      <c r="P13" s="348"/>
    </row>
    <row r="14" spans="1:16" ht="12.75" customHeight="1">
      <c r="A14" s="9" t="s">
        <v>421</v>
      </c>
      <c r="B14" s="29">
        <f>'Summary Medians'!D61</f>
        <v>0</v>
      </c>
      <c r="C14" s="29">
        <f>'Summary Medians'!D62</f>
        <v>1780</v>
      </c>
      <c r="D14" s="29">
        <f>'Summary Medians'!D63</f>
        <v>1755</v>
      </c>
      <c r="E14" s="29">
        <f>'Summary Medians'!D64</f>
        <v>1770</v>
      </c>
      <c r="F14" s="42">
        <f>+'Summary Medians'!$D$65</f>
        <v>1772.5</v>
      </c>
      <c r="G14" s="30">
        <f>+'Summary Medians'!$D$66</f>
        <v>0</v>
      </c>
      <c r="H14" s="61">
        <f>+'Summary Medians'!$D$67</f>
        <v>0</v>
      </c>
      <c r="I14" s="66">
        <f>+'Summary Medians'!$D$68</f>
        <v>0</v>
      </c>
      <c r="J14" s="30">
        <f>+'Summary Medians'!$D$69</f>
        <v>0</v>
      </c>
      <c r="L14" s="347">
        <f t="shared" si="0"/>
        <v>0.045722713864306784</v>
      </c>
      <c r="M14" s="348">
        <f>+'Summary Medians'!C65</f>
        <v>1695</v>
      </c>
      <c r="N14" s="346"/>
      <c r="O14" s="347"/>
      <c r="P14" s="348"/>
    </row>
    <row r="15" spans="1:16" ht="6.75" customHeight="1">
      <c r="A15" s="9"/>
      <c r="B15" s="29"/>
      <c r="C15" s="29"/>
      <c r="D15" s="29"/>
      <c r="E15" s="29"/>
      <c r="F15" s="42"/>
      <c r="G15" s="30"/>
      <c r="H15" s="61"/>
      <c r="I15" s="66"/>
      <c r="J15" s="30"/>
      <c r="L15" s="347"/>
      <c r="M15" s="348"/>
      <c r="N15" s="346"/>
      <c r="O15" s="347"/>
      <c r="P15" s="348"/>
    </row>
    <row r="16" spans="1:16" ht="12.75" customHeight="1">
      <c r="A16" s="7" t="s">
        <v>422</v>
      </c>
      <c r="B16" s="29">
        <f>'Summary Medians'!D78</f>
        <v>1609</v>
      </c>
      <c r="C16" s="29">
        <f>'Summary Medians'!D79</f>
        <v>1724</v>
      </c>
      <c r="D16" s="29">
        <f>'Summary Medians'!D80</f>
        <v>1656</v>
      </c>
      <c r="E16" s="29">
        <f>'Summary Medians'!D81</f>
        <v>1678</v>
      </c>
      <c r="F16" s="42">
        <f>+'Summary Medians'!$D$82</f>
        <v>1656</v>
      </c>
      <c r="G16" s="30">
        <f>+'Summary Medians'!$D$83</f>
        <v>1146</v>
      </c>
      <c r="H16" s="61">
        <f>+'Summary Medians'!$D$84</f>
        <v>1146</v>
      </c>
      <c r="I16" s="66">
        <f>+'Summary Medians'!$D$85</f>
        <v>0</v>
      </c>
      <c r="J16" s="30">
        <f>+'Summary Medians'!$D$86</f>
        <v>1146</v>
      </c>
      <c r="L16" s="347">
        <f t="shared" si="0"/>
        <v>0.04677623261694058</v>
      </c>
      <c r="M16" s="348">
        <f>+'Summary Medians'!C82</f>
        <v>1582</v>
      </c>
      <c r="N16" s="346"/>
      <c r="O16" s="347">
        <f>(J16-P16)/P16</f>
        <v>0.032432432432432434</v>
      </c>
      <c r="P16" s="348">
        <f>+'Summary Medians'!C86</f>
        <v>1110</v>
      </c>
    </row>
    <row r="17" spans="1:16" ht="12.75" customHeight="1">
      <c r="A17" s="3" t="s">
        <v>423</v>
      </c>
      <c r="B17" s="31">
        <f>'Summary Medians'!D95</f>
        <v>0</v>
      </c>
      <c r="C17" s="31">
        <f>'Summary Medians'!D96</f>
        <v>2760</v>
      </c>
      <c r="D17" s="31">
        <f>'Summary Medians'!D97</f>
        <v>2760</v>
      </c>
      <c r="E17" s="31">
        <f>'Summary Medians'!D98</f>
        <v>2760</v>
      </c>
      <c r="F17" s="43">
        <f>+'Summary Medians'!$D$99</f>
        <v>2760</v>
      </c>
      <c r="G17" s="32">
        <f>+'Summary Medians'!$D$100</f>
        <v>2760</v>
      </c>
      <c r="H17" s="35">
        <f>+'Summary Medians'!$D$101</f>
        <v>2760</v>
      </c>
      <c r="I17" s="65">
        <f>+'Summary Medians'!$D$102</f>
        <v>0</v>
      </c>
      <c r="J17" s="32">
        <f>+'Summary Medians'!$D$103</f>
        <v>2760</v>
      </c>
      <c r="L17" s="347">
        <f t="shared" si="0"/>
        <v>0.16455696202531644</v>
      </c>
      <c r="M17" s="348">
        <f>+'Summary Medians'!C99</f>
        <v>2370</v>
      </c>
      <c r="N17" s="346"/>
      <c r="O17" s="347">
        <f>(J17-P17)/P17</f>
        <v>0.16455696202531644</v>
      </c>
      <c r="P17" s="348">
        <f>+'Summary Medians'!C103</f>
        <v>2370</v>
      </c>
    </row>
    <row r="18" spans="1:16" ht="12.75" customHeight="1">
      <c r="A18" s="3" t="s">
        <v>424</v>
      </c>
      <c r="B18" s="29">
        <f>'Summary Medians'!D112</f>
        <v>0</v>
      </c>
      <c r="C18" s="29">
        <f>'Summary Medians'!D113</f>
        <v>1844</v>
      </c>
      <c r="D18" s="29">
        <f>'Summary Medians'!D114</f>
        <v>1682</v>
      </c>
      <c r="E18" s="29">
        <f>'Summary Medians'!D115</f>
        <v>1852</v>
      </c>
      <c r="F18" s="42">
        <f>+'Summary Medians'!$D$116</f>
        <v>1836</v>
      </c>
      <c r="G18" s="30">
        <f>+'Summary Medians'!$D$117</f>
        <v>956</v>
      </c>
      <c r="H18" s="61">
        <f>+'Summary Medians'!$D$118</f>
        <v>966</v>
      </c>
      <c r="I18" s="66">
        <f>+'Summary Medians'!$D$119</f>
        <v>927</v>
      </c>
      <c r="J18" s="30">
        <f>+'Summary Medians'!$D$120</f>
        <v>927</v>
      </c>
      <c r="L18" s="347">
        <f t="shared" si="0"/>
        <v>0.07494145199063232</v>
      </c>
      <c r="M18" s="348">
        <f>+'Summary Medians'!C116</f>
        <v>1708</v>
      </c>
      <c r="N18" s="346"/>
      <c r="O18" s="347">
        <f>(J18-P18)/P18</f>
        <v>0.36123348017621143</v>
      </c>
      <c r="P18" s="348">
        <f>+'Summary Medians'!C120</f>
        <v>681</v>
      </c>
    </row>
    <row r="19" spans="1:16" ht="12.75" customHeight="1">
      <c r="A19" s="7" t="s">
        <v>425</v>
      </c>
      <c r="B19" s="29">
        <f>'Summary Medians'!D129</f>
        <v>0</v>
      </c>
      <c r="C19" s="29">
        <f>'Summary Medians'!D130</f>
        <v>3245</v>
      </c>
      <c r="D19" s="29">
        <f>'Summary Medians'!D131</f>
        <v>2821</v>
      </c>
      <c r="E19" s="29">
        <f>'Summary Medians'!D132</f>
        <v>2734</v>
      </c>
      <c r="F19" s="42">
        <f>+'Summary Medians'!$D$133</f>
        <v>2805.5</v>
      </c>
      <c r="G19" s="30">
        <f>+'Summary Medians'!$D$134</f>
        <v>0</v>
      </c>
      <c r="H19" s="61">
        <f>+'Summary Medians'!$D$135</f>
        <v>0</v>
      </c>
      <c r="I19" s="66">
        <f>+'Summary Medians'!$D$136</f>
        <v>0</v>
      </c>
      <c r="J19" s="30">
        <f>+'Summary Medians'!$D$137</f>
        <v>0</v>
      </c>
      <c r="L19" s="347">
        <f t="shared" si="0"/>
        <v>0.041001855287569576</v>
      </c>
      <c r="M19" s="348">
        <f>+'Summary Medians'!C133</f>
        <v>2695</v>
      </c>
      <c r="N19" s="346"/>
      <c r="O19" s="347"/>
      <c r="P19" s="348"/>
    </row>
    <row r="20" spans="1:16" ht="5.25" customHeight="1">
      <c r="A20" s="7"/>
      <c r="B20" s="29"/>
      <c r="C20" s="29"/>
      <c r="D20" s="29"/>
      <c r="E20" s="29"/>
      <c r="F20" s="42"/>
      <c r="G20" s="30"/>
      <c r="H20" s="61"/>
      <c r="I20" s="66"/>
      <c r="J20" s="30"/>
      <c r="L20" s="347"/>
      <c r="M20" s="348"/>
      <c r="N20" s="346"/>
      <c r="O20" s="347"/>
      <c r="P20" s="348"/>
    </row>
    <row r="21" spans="1:16" ht="12.75" customHeight="1">
      <c r="A21" s="3" t="s">
        <v>426</v>
      </c>
      <c r="B21" s="31">
        <f>'Summary Medians'!D146</f>
        <v>0</v>
      </c>
      <c r="C21" s="31">
        <f>'Summary Medians'!D147</f>
        <v>1671</v>
      </c>
      <c r="D21" s="31">
        <f>'Summary Medians'!D148</f>
        <v>1560</v>
      </c>
      <c r="E21" s="31">
        <f>'Summary Medians'!D149</f>
        <v>1650</v>
      </c>
      <c r="F21" s="43">
        <f>+'Summary Medians'!$D$150</f>
        <v>1600</v>
      </c>
      <c r="G21" s="32">
        <f>+'Summary Medians'!$D$151</f>
        <v>0</v>
      </c>
      <c r="H21" s="35">
        <f>+'Summary Medians'!$D$152</f>
        <v>0</v>
      </c>
      <c r="I21" s="65">
        <f>+'Summary Medians'!$D$153</f>
        <v>0</v>
      </c>
      <c r="J21" s="32">
        <f>+'Summary Medians'!$D$154</f>
        <v>0</v>
      </c>
      <c r="L21" s="347">
        <f t="shared" si="0"/>
        <v>0.12359550561797752</v>
      </c>
      <c r="M21" s="348">
        <f>+'Summary Medians'!C150</f>
        <v>1424</v>
      </c>
      <c r="N21" s="346"/>
      <c r="O21" s="347"/>
      <c r="P21" s="348"/>
    </row>
    <row r="22" spans="1:16" ht="12.75" customHeight="1">
      <c r="A22" s="3" t="s">
        <v>427</v>
      </c>
      <c r="B22" s="31">
        <f>'Summary Medians'!D163</f>
        <v>0</v>
      </c>
      <c r="C22" s="31">
        <f>'Summary Medians'!D164</f>
        <v>1244</v>
      </c>
      <c r="D22" s="31">
        <f>'Summary Medians'!D165</f>
        <v>1251.5</v>
      </c>
      <c r="E22" s="31">
        <f>'Summary Medians'!D166</f>
        <v>1274</v>
      </c>
      <c r="F22" s="43">
        <f>+'Summary Medians'!$D$167</f>
        <v>1254.5</v>
      </c>
      <c r="G22" s="32">
        <f>+'Summary Medians'!$D$168</f>
        <v>0</v>
      </c>
      <c r="H22" s="35">
        <f>+'Summary Medians'!$D$169</f>
        <v>0</v>
      </c>
      <c r="I22" s="65">
        <f>+'Summary Medians'!$D$170</f>
        <v>0</v>
      </c>
      <c r="J22" s="31">
        <f>+'Summary Medians'!$D$171</f>
        <v>0</v>
      </c>
      <c r="L22" s="347">
        <f t="shared" si="0"/>
        <v>0.07590051457975987</v>
      </c>
      <c r="M22" s="348">
        <f>+'Summary Medians'!C167</f>
        <v>1166</v>
      </c>
      <c r="N22" s="346"/>
      <c r="O22" s="347"/>
      <c r="P22" s="348"/>
    </row>
    <row r="23" spans="1:16" ht="12.75" customHeight="1">
      <c r="A23" s="3" t="s">
        <v>428</v>
      </c>
      <c r="B23" s="31">
        <f>'Summary Medians'!D180</f>
        <v>3030</v>
      </c>
      <c r="C23" s="31">
        <f>'Summary Medians'!D181</f>
        <v>2058</v>
      </c>
      <c r="D23" s="31">
        <f>'Summary Medians'!D182</f>
        <v>2114.5</v>
      </c>
      <c r="E23" s="31">
        <f>'Summary Medians'!D183</f>
        <v>2109</v>
      </c>
      <c r="F23" s="43">
        <f>+'Summary Medians'!$D$184</f>
        <v>2109</v>
      </c>
      <c r="G23" s="32">
        <f>+'Summary Medians'!$D$185</f>
        <v>0</v>
      </c>
      <c r="H23" s="35">
        <f>+'Summary Medians'!$D$186</f>
        <v>0</v>
      </c>
      <c r="I23" s="65">
        <f>+'Summary Medians'!$D$187</f>
        <v>1312</v>
      </c>
      <c r="J23" s="31">
        <f>+'Summary Medians'!$D$188</f>
        <v>1312</v>
      </c>
      <c r="L23" s="347">
        <f t="shared" si="0"/>
        <v>0.09700910273081925</v>
      </c>
      <c r="M23" s="348">
        <f>+'Summary Medians'!C184</f>
        <v>1922.5</v>
      </c>
      <c r="N23" s="346"/>
      <c r="O23" s="347"/>
      <c r="P23" s="348"/>
    </row>
    <row r="24" spans="1:16" ht="12.75" customHeight="1">
      <c r="A24" s="3" t="s">
        <v>429</v>
      </c>
      <c r="B24" s="31">
        <f>'Summary Medians'!D197</f>
        <v>0</v>
      </c>
      <c r="C24" s="31">
        <f>'Summary Medians'!D198</f>
        <v>2900</v>
      </c>
      <c r="D24" s="31">
        <f>'Summary Medians'!D199</f>
        <v>2710</v>
      </c>
      <c r="E24" s="31">
        <f>'Summary Medians'!D200</f>
        <v>3479</v>
      </c>
      <c r="F24" s="43">
        <f>+'Summary Medians'!$D$201</f>
        <v>2836</v>
      </c>
      <c r="G24" s="32">
        <f>+'Summary Medians'!$D$202</f>
        <v>0</v>
      </c>
      <c r="H24" s="35">
        <f>+'Summary Medians'!$D$203</f>
        <v>0</v>
      </c>
      <c r="I24" s="65">
        <f>+'Summary Medians'!$D$204</f>
        <v>0</v>
      </c>
      <c r="J24" s="31">
        <f>+'Summary Medians'!$D$205</f>
        <v>0</v>
      </c>
      <c r="L24" s="347">
        <f t="shared" si="0"/>
        <v>0.09076923076923077</v>
      </c>
      <c r="M24" s="348">
        <f>+'Summary Medians'!C201</f>
        <v>2600</v>
      </c>
      <c r="N24" s="346"/>
      <c r="O24" s="347"/>
      <c r="P24" s="348"/>
    </row>
    <row r="25" spans="1:16" ht="5.25" customHeight="1">
      <c r="A25" s="3"/>
      <c r="B25" s="31"/>
      <c r="C25" s="31"/>
      <c r="D25" s="31"/>
      <c r="E25" s="31"/>
      <c r="F25" s="43"/>
      <c r="G25" s="32"/>
      <c r="H25" s="35"/>
      <c r="I25" s="65"/>
      <c r="J25" s="31"/>
      <c r="L25" s="347"/>
      <c r="M25" s="348"/>
      <c r="N25" s="346"/>
      <c r="O25" s="347"/>
      <c r="P25" s="348"/>
    </row>
    <row r="26" spans="1:16" ht="12.75" customHeight="1">
      <c r="A26" s="3" t="s">
        <v>430</v>
      </c>
      <c r="B26" s="31">
        <f>'Summary Medians'!D214</f>
        <v>0</v>
      </c>
      <c r="C26" s="31">
        <f>'Summary Medians'!D215</f>
        <v>2213</v>
      </c>
      <c r="D26" s="31">
        <f>'Summary Medians'!D216</f>
        <v>2187</v>
      </c>
      <c r="E26" s="31">
        <f>'Summary Medians'!D217</f>
        <v>2183</v>
      </c>
      <c r="F26" s="43">
        <f>+'Summary Medians'!$D$218</f>
        <v>2187</v>
      </c>
      <c r="G26" s="32">
        <f>+'Summary Medians'!$D$219</f>
        <v>1752</v>
      </c>
      <c r="H26" s="35">
        <f>+'Summary Medians'!$D$220</f>
        <v>1752</v>
      </c>
      <c r="I26" s="65">
        <f>+'Summary Medians'!$D$221</f>
        <v>0</v>
      </c>
      <c r="J26" s="31">
        <f>+'Summary Medians'!$D$222</f>
        <v>1752</v>
      </c>
      <c r="L26" s="347">
        <f t="shared" si="0"/>
        <v>0.06216610004856726</v>
      </c>
      <c r="M26" s="348">
        <f>+'Summary Medians'!C218</f>
        <v>2059</v>
      </c>
      <c r="N26" s="346"/>
      <c r="O26" s="347">
        <f>(J26-P26)/P26</f>
        <v>0.13178294573643412</v>
      </c>
      <c r="P26" s="348">
        <f>+'Summary Medians'!C222</f>
        <v>1548</v>
      </c>
    </row>
    <row r="27" spans="1:16" ht="12.75" customHeight="1">
      <c r="A27" s="3" t="s">
        <v>431</v>
      </c>
      <c r="B27" s="31">
        <f>'Summary Medians'!D231</f>
        <v>0</v>
      </c>
      <c r="C27" s="31">
        <f>'Summary Medians'!D232</f>
        <v>1380</v>
      </c>
      <c r="D27" s="31">
        <f>'Summary Medians'!D233</f>
        <v>1275</v>
      </c>
      <c r="E27" s="31">
        <f>'Summary Medians'!D234</f>
        <v>1737.5</v>
      </c>
      <c r="F27" s="43">
        <f>+'Summary Medians'!$D$235</f>
        <v>1345</v>
      </c>
      <c r="G27" s="32">
        <f>+'Summary Medians'!$D$236</f>
        <v>0</v>
      </c>
      <c r="H27" s="35">
        <f>+'Summary Medians'!$D$237</f>
        <v>0</v>
      </c>
      <c r="I27" s="65">
        <f>+'Summary Medians'!$D$238</f>
        <v>0</v>
      </c>
      <c r="J27" s="31">
        <f>+'Summary Medians'!$D$239</f>
        <v>0</v>
      </c>
      <c r="L27" s="347">
        <f t="shared" si="0"/>
        <v>0.07772435897435898</v>
      </c>
      <c r="M27" s="348">
        <f>+'Summary Medians'!C235</f>
        <v>1248</v>
      </c>
      <c r="N27" s="346"/>
      <c r="O27" s="347"/>
      <c r="P27" s="348"/>
    </row>
    <row r="28" spans="1:16" ht="12.75" customHeight="1">
      <c r="A28" s="3" t="s">
        <v>1037</v>
      </c>
      <c r="B28" s="31">
        <f>'Summary Medians'!D248</f>
        <v>0</v>
      </c>
      <c r="C28" s="31">
        <f>'Summary Medians'!D249</f>
        <v>2006</v>
      </c>
      <c r="D28" s="31">
        <f>'Summary Medians'!D250</f>
        <v>2006</v>
      </c>
      <c r="E28" s="31">
        <f>'Summary Medians'!D251</f>
        <v>2006</v>
      </c>
      <c r="F28" s="43">
        <f>+'Summary Medians'!$D$252</f>
        <v>2006</v>
      </c>
      <c r="G28" s="32">
        <f>+'Summary Medians'!$D$253</f>
        <v>0</v>
      </c>
      <c r="H28" s="35">
        <f>+'Summary Medians'!$D$254</f>
        <v>0</v>
      </c>
      <c r="I28" s="65">
        <f>+'Summary Medians'!$D$255</f>
        <v>0</v>
      </c>
      <c r="J28" s="31">
        <f>+'Summary Medians'!$D$256</f>
        <v>0</v>
      </c>
      <c r="L28" s="347">
        <f t="shared" si="0"/>
        <v>0.06532129580456718</v>
      </c>
      <c r="M28" s="348">
        <f>+'Summary Medians'!C252</f>
        <v>1883</v>
      </c>
      <c r="N28" s="346"/>
      <c r="O28" s="347"/>
      <c r="P28" s="348"/>
    </row>
    <row r="29" spans="1:16" ht="12.75" customHeight="1">
      <c r="A29" s="10" t="s">
        <v>433</v>
      </c>
      <c r="B29" s="33">
        <f>'Summary Medians'!D265</f>
        <v>1668</v>
      </c>
      <c r="C29" s="33">
        <f>'Summary Medians'!D266</f>
        <v>0</v>
      </c>
      <c r="D29" s="33">
        <f>'Summary Medians'!D267</f>
        <v>3052</v>
      </c>
      <c r="E29" s="33">
        <f>'Summary Medians'!D268</f>
        <v>2624</v>
      </c>
      <c r="F29" s="44">
        <f>+'Summary Medians'!$D$269</f>
        <v>2624</v>
      </c>
      <c r="G29" s="34">
        <f>+'Summary Medians'!$D$270</f>
        <v>0</v>
      </c>
      <c r="H29" s="33">
        <f>+'Summary Medians'!$D$271</f>
        <v>0</v>
      </c>
      <c r="I29" s="67">
        <f>+'Summary Medians'!$D$272</f>
        <v>0</v>
      </c>
      <c r="J29" s="33">
        <f>+'Summary Medians'!$D$273</f>
        <v>0</v>
      </c>
      <c r="L29" s="347">
        <f t="shared" si="0"/>
        <v>0.11707109408258834</v>
      </c>
      <c r="M29" s="348">
        <f>+'Summary Medians'!C269</f>
        <v>2349</v>
      </c>
      <c r="N29" s="346"/>
      <c r="O29" s="347"/>
      <c r="P29" s="348"/>
    </row>
    <row r="30" spans="1:10" ht="9" customHeight="1">
      <c r="A30" s="6"/>
      <c r="B30" s="12"/>
      <c r="C30" s="12"/>
      <c r="D30" s="12"/>
      <c r="E30" s="12"/>
      <c r="F30" s="12"/>
      <c r="G30" s="12"/>
      <c r="H30" s="12"/>
      <c r="I30" s="12"/>
      <c r="J30" s="12"/>
    </row>
    <row r="31" spans="1:10" ht="15.75">
      <c r="A31" s="21" t="s">
        <v>412</v>
      </c>
      <c r="B31" s="1"/>
      <c r="C31" s="1"/>
      <c r="D31" s="1"/>
      <c r="E31" s="1"/>
      <c r="F31" s="1"/>
      <c r="G31" s="1"/>
      <c r="H31" s="1"/>
      <c r="I31" s="1"/>
      <c r="J31" s="1"/>
    </row>
    <row r="32" spans="1:10" ht="63" customHeight="1">
      <c r="A32" s="371" t="s">
        <v>1018</v>
      </c>
      <c r="B32" s="371"/>
      <c r="C32" s="371"/>
      <c r="D32" s="371"/>
      <c r="E32" s="371"/>
      <c r="F32" s="371"/>
      <c r="G32" s="371"/>
      <c r="H32" s="371"/>
      <c r="I32" s="371"/>
      <c r="J32" s="371"/>
    </row>
    <row r="33" ht="15.75">
      <c r="J33" s="377" t="s">
        <v>37</v>
      </c>
    </row>
  </sheetData>
  <mergeCells count="5">
    <mergeCell ref="A32:J32"/>
    <mergeCell ref="A1:J1"/>
    <mergeCell ref="A3:J3"/>
    <mergeCell ref="A4:J4"/>
    <mergeCell ref="A5:J5"/>
  </mergeCells>
  <printOptions horizontalCentered="1"/>
  <pageMargins left="0.75" right="0.75" top="1" bottom="1" header="0.6" footer="0.5"/>
  <pageSetup horizontalDpi="600" verticalDpi="600" orientation="landscape" r:id="rId1"/>
  <headerFooter alignWithMargins="0">
    <oddHeader>&amp;R&amp;"Arial,Regular"&amp;8SREB-State Data Exchange</oddHeader>
    <oddFooter>&amp;C&amp;"ARIAL,Regular"&amp;10 160</oddFooter>
  </headerFooter>
</worksheet>
</file>

<file path=xl/worksheets/sheet7.xml><?xml version="1.0" encoding="utf-8"?>
<worksheet xmlns="http://schemas.openxmlformats.org/spreadsheetml/2006/main" xmlns:r="http://schemas.openxmlformats.org/officeDocument/2006/relationships">
  <sheetPr>
    <tabColor indexed="16"/>
  </sheetPr>
  <dimension ref="A1:H32"/>
  <sheetViews>
    <sheetView showZeros="0" zoomScale="75" zoomScaleNormal="75" workbookViewId="0" topLeftCell="A1">
      <selection activeCell="G39" sqref="G39"/>
    </sheetView>
  </sheetViews>
  <sheetFormatPr defaultColWidth="8.796875" defaultRowHeight="15"/>
  <cols>
    <col min="1" max="1" width="18.5" style="0" customWidth="1"/>
    <col min="2" max="8" width="8.59765625" style="0" customWidth="1"/>
  </cols>
  <sheetData>
    <row r="1" spans="1:8" ht="18">
      <c r="A1" s="38" t="s">
        <v>479</v>
      </c>
      <c r="B1" s="38"/>
      <c r="C1" s="38"/>
      <c r="D1" s="38"/>
      <c r="E1" s="38"/>
      <c r="F1" s="38"/>
      <c r="G1" s="38"/>
      <c r="H1" s="38"/>
    </row>
    <row r="2" spans="1:8" s="176" customFormat="1" ht="12.75">
      <c r="A2" s="175"/>
      <c r="B2" s="175"/>
      <c r="C2" s="175"/>
      <c r="D2" s="175"/>
      <c r="E2" s="175"/>
      <c r="F2" s="175"/>
      <c r="G2" s="175"/>
      <c r="H2" s="175"/>
    </row>
    <row r="3" spans="1:8" ht="15.75">
      <c r="A3" s="39" t="s">
        <v>416</v>
      </c>
      <c r="B3" s="39"/>
      <c r="C3" s="39"/>
      <c r="D3" s="39"/>
      <c r="E3" s="39"/>
      <c r="F3" s="39"/>
      <c r="G3" s="39"/>
      <c r="H3" s="39"/>
    </row>
    <row r="4" spans="1:8" ht="15.75">
      <c r="A4" s="39" t="s">
        <v>434</v>
      </c>
      <c r="B4" s="39"/>
      <c r="C4" s="39"/>
      <c r="D4" s="39"/>
      <c r="E4" s="39"/>
      <c r="F4" s="39"/>
      <c r="G4" s="39"/>
      <c r="H4" s="39"/>
    </row>
    <row r="5" spans="1:8" ht="15.75">
      <c r="A5" s="39" t="s">
        <v>702</v>
      </c>
      <c r="B5" s="39"/>
      <c r="C5" s="39"/>
      <c r="D5" s="39"/>
      <c r="E5" s="39"/>
      <c r="F5" s="39"/>
      <c r="G5" s="39"/>
      <c r="H5" s="39"/>
    </row>
    <row r="6" spans="1:8" s="176" customFormat="1" ht="12.75">
      <c r="A6" s="68"/>
      <c r="B6" s="68"/>
      <c r="C6" s="68"/>
      <c r="D6" s="68"/>
      <c r="E6" s="68"/>
      <c r="F6" s="68"/>
      <c r="G6" s="68"/>
      <c r="H6" s="68"/>
    </row>
    <row r="7" spans="1:8" ht="15.75">
      <c r="A7" s="4"/>
      <c r="B7" s="5" t="s">
        <v>418</v>
      </c>
      <c r="C7" s="5"/>
      <c r="D7" s="5"/>
      <c r="E7" s="5"/>
      <c r="F7" s="5"/>
      <c r="G7" s="5"/>
      <c r="H7" s="5"/>
    </row>
    <row r="8" spans="1:8" s="15" customFormat="1" ht="27" customHeight="1">
      <c r="A8" s="239"/>
      <c r="B8" s="237">
        <v>1</v>
      </c>
      <c r="C8" s="237">
        <v>2</v>
      </c>
      <c r="D8" s="237">
        <v>3</v>
      </c>
      <c r="E8" s="237">
        <v>4</v>
      </c>
      <c r="F8" s="237">
        <v>5</v>
      </c>
      <c r="G8" s="237">
        <v>6</v>
      </c>
      <c r="H8" s="238" t="s">
        <v>949</v>
      </c>
    </row>
    <row r="9" ht="9" customHeight="1">
      <c r="G9" s="74"/>
    </row>
    <row r="10" spans="1:8" ht="12.75" customHeight="1">
      <c r="A10" s="7" t="s">
        <v>973</v>
      </c>
      <c r="B10" s="80">
        <f>+'Summary Medians'!G275</f>
        <v>14431.5</v>
      </c>
      <c r="C10" s="80">
        <f>+'Summary Medians'!$G$276</f>
        <v>14545.5</v>
      </c>
      <c r="D10" s="80">
        <f>+'Summary Medians'!$G$277</f>
        <v>11984</v>
      </c>
      <c r="E10" s="80">
        <f>+'Summary Medians'!G278</f>
        <v>10927.5</v>
      </c>
      <c r="F10" s="80">
        <f>+'Summary Medians'!$G$279</f>
        <v>9555</v>
      </c>
      <c r="G10" s="80">
        <f>+'Summary Medians'!$G$280</f>
        <v>9486</v>
      </c>
      <c r="H10" s="81">
        <f>+'Summary Medians'!G281</f>
        <v>11782</v>
      </c>
    </row>
    <row r="11" spans="1:8" ht="12.75" customHeight="1">
      <c r="A11" s="3"/>
      <c r="B11" s="49"/>
      <c r="C11" s="49"/>
      <c r="D11" s="49"/>
      <c r="E11" s="49"/>
      <c r="F11" s="49"/>
      <c r="G11" s="51"/>
      <c r="H11" s="49"/>
    </row>
    <row r="12" spans="1:8" ht="12.75" customHeight="1">
      <c r="A12" s="3" t="s">
        <v>419</v>
      </c>
      <c r="B12" s="31">
        <f>+'Summary Medians'!$G$3</f>
        <v>12664</v>
      </c>
      <c r="C12" s="31">
        <f>+'Summary Medians'!$G$4</f>
        <v>9518</v>
      </c>
      <c r="D12" s="31">
        <f>+'Summary Medians'!$G$5</f>
        <v>8100</v>
      </c>
      <c r="E12" s="31">
        <f>+'Summary Medians'!$G$6</f>
        <v>8014</v>
      </c>
      <c r="F12" s="31">
        <f>+'Summary Medians'!$G$7</f>
        <v>8017</v>
      </c>
      <c r="G12" s="31">
        <f>+'Summary Medians'!$G$8</f>
        <v>7170</v>
      </c>
      <c r="H12" s="52">
        <f>+'Summary Medians'!$G$9</f>
        <v>8090</v>
      </c>
    </row>
    <row r="13" spans="1:8" ht="12.75" customHeight="1">
      <c r="A13" s="3" t="s">
        <v>420</v>
      </c>
      <c r="B13" s="31">
        <f>+'Summary Medians'!$G$20</f>
        <v>12425</v>
      </c>
      <c r="C13" s="31">
        <f>+'Summary Medians'!$G$21</f>
        <v>0</v>
      </c>
      <c r="D13" s="31">
        <f>+'Summary Medians'!$G$22</f>
        <v>11437</v>
      </c>
      <c r="E13" s="31">
        <f>+'Summary Medians'!$G$23</f>
        <v>0</v>
      </c>
      <c r="F13" s="31">
        <f>+'Summary Medians'!$G$24</f>
        <v>7808</v>
      </c>
      <c r="G13" s="31">
        <f>+'Summary Medians'!$G$25</f>
        <v>7606.5</v>
      </c>
      <c r="H13" s="52">
        <f>+'Summary Medians'!$G$26</f>
        <v>8609</v>
      </c>
    </row>
    <row r="14" spans="1:8" ht="12.75" customHeight="1">
      <c r="A14" s="3" t="s">
        <v>1031</v>
      </c>
      <c r="B14" s="31">
        <f>+'Summary Medians'!$G$37</f>
        <v>16640</v>
      </c>
      <c r="C14" s="31">
        <f>+'Summary Medians'!$G$38</f>
        <v>0</v>
      </c>
      <c r="D14" s="31">
        <f>+'Summary Medians'!$G$39</f>
        <v>0</v>
      </c>
      <c r="E14" s="31">
        <f>+'Summary Medians'!$G$40</f>
        <v>10633</v>
      </c>
      <c r="F14" s="31">
        <f>+'Summary Medians'!$G$41</f>
        <v>0</v>
      </c>
      <c r="G14" s="31">
        <f>+'Summary Medians'!$G$42</f>
        <v>0</v>
      </c>
      <c r="H14" s="52">
        <f>+'Summary Medians'!$G$43</f>
        <v>13636.5</v>
      </c>
    </row>
    <row r="15" spans="1:8" ht="12.75" customHeight="1">
      <c r="A15" s="7" t="s">
        <v>421</v>
      </c>
      <c r="B15" s="31">
        <f>+'Summary Medians'!$G$54</f>
        <v>15671.7</v>
      </c>
      <c r="C15" s="31">
        <f>+'Summary Medians'!$G$55</f>
        <v>15664</v>
      </c>
      <c r="D15" s="31">
        <f>+'Summary Medians'!$G$56</f>
        <v>15160.3</v>
      </c>
      <c r="E15" s="31">
        <f>+'Summary Medians'!$G$57</f>
        <v>0</v>
      </c>
      <c r="F15" s="31">
        <f>+'Summary Medians'!$G$58</f>
        <v>15247.1</v>
      </c>
      <c r="G15" s="31">
        <f>+'Summary Medians'!$G$59</f>
        <v>15383.1</v>
      </c>
      <c r="H15" s="52">
        <f>+'Summary Medians'!$G$60</f>
        <v>15545.7</v>
      </c>
    </row>
    <row r="16" spans="1:8" ht="12.75" customHeight="1">
      <c r="A16" s="3"/>
      <c r="B16" s="31"/>
      <c r="C16" s="31"/>
      <c r="D16" s="31"/>
      <c r="E16" s="31"/>
      <c r="F16" s="31"/>
      <c r="G16" s="31"/>
      <c r="H16" s="52"/>
    </row>
    <row r="17" spans="1:8" ht="12.75" customHeight="1">
      <c r="A17" s="7" t="s">
        <v>422</v>
      </c>
      <c r="B17" s="31">
        <f>+'Summary Medians'!$G$71</f>
        <v>14924</v>
      </c>
      <c r="C17" s="31">
        <f>+'Summary Medians'!$G$72</f>
        <v>17558</v>
      </c>
      <c r="D17" s="31">
        <f>+'Summary Medians'!$G$73</f>
        <v>10017</v>
      </c>
      <c r="E17" s="31">
        <f>+'Summary Medians'!$G$74</f>
        <v>9865</v>
      </c>
      <c r="F17" s="31">
        <f>+'Summary Medians'!$G$75</f>
        <v>9872</v>
      </c>
      <c r="G17" s="31">
        <f>+'Summary Medians'!$G$76</f>
        <v>9770</v>
      </c>
      <c r="H17" s="52">
        <f>+'Summary Medians'!$G$77</f>
        <v>9874</v>
      </c>
    </row>
    <row r="18" spans="1:8" ht="12.75" customHeight="1">
      <c r="A18" s="3" t="s">
        <v>423</v>
      </c>
      <c r="B18" s="31">
        <f>+'Summary Medians'!$G$88</f>
        <v>11944</v>
      </c>
      <c r="C18" s="31">
        <f>+'Summary Medians'!$G$89</f>
        <v>13752</v>
      </c>
      <c r="D18" s="31">
        <f>+'Summary Medians'!$G$90</f>
        <v>10836</v>
      </c>
      <c r="E18" s="31">
        <f>+'Summary Medians'!$G$91</f>
        <v>9648</v>
      </c>
      <c r="F18" s="31">
        <f>+'Summary Medians'!$G$92</f>
        <v>9350</v>
      </c>
      <c r="G18" s="31">
        <f>+'Summary Medians'!$G$93</f>
        <v>0</v>
      </c>
      <c r="H18" s="52">
        <f>+'Summary Medians'!$G$94</f>
        <v>10650</v>
      </c>
    </row>
    <row r="19" spans="1:8" ht="12.75" customHeight="1">
      <c r="A19" s="3" t="s">
        <v>424</v>
      </c>
      <c r="B19" s="31">
        <f>+'Summary Medians'!$G$105</f>
        <v>11092</v>
      </c>
      <c r="C19" s="31">
        <f>+'Summary Medians'!$G$106</f>
        <v>10071</v>
      </c>
      <c r="D19" s="31">
        <f>+'Summary Medians'!$G$107</f>
        <v>9148</v>
      </c>
      <c r="E19" s="31">
        <f>+'Summary Medians'!$G$108</f>
        <v>8760</v>
      </c>
      <c r="F19" s="31">
        <f>+'Summary Medians'!$G$109</f>
        <v>7649</v>
      </c>
      <c r="G19" s="31">
        <f>+'Summary Medians'!$G$110</f>
        <v>0</v>
      </c>
      <c r="H19" s="52">
        <f>+'Summary Medians'!$G$111</f>
        <v>9133</v>
      </c>
    </row>
    <row r="20" spans="1:8" ht="12.75" customHeight="1">
      <c r="A20" s="7" t="s">
        <v>425</v>
      </c>
      <c r="B20" s="31">
        <f>+'Summary Medians'!$G$122</f>
        <v>18710</v>
      </c>
      <c r="C20" s="31">
        <f>+'Summary Medians'!$G$123</f>
        <v>15620</v>
      </c>
      <c r="D20" s="31">
        <f>+'Summary Medians'!$G$124</f>
        <v>15352</v>
      </c>
      <c r="E20" s="31">
        <f>+'Summary Medians'!$G$125</f>
        <v>13464</v>
      </c>
      <c r="F20" s="31">
        <f>+'Summary Medians'!$G$126</f>
        <v>10626</v>
      </c>
      <c r="G20" s="31">
        <f>+'Summary Medians'!$G$127</f>
        <v>17097</v>
      </c>
      <c r="H20" s="52">
        <f>+'Summary Medians'!$G$128</f>
        <v>13583</v>
      </c>
    </row>
    <row r="21" spans="1:8" ht="12.75" customHeight="1">
      <c r="A21" s="7"/>
      <c r="B21" s="31"/>
      <c r="C21" s="31"/>
      <c r="D21" s="31"/>
      <c r="E21" s="31"/>
      <c r="F21" s="31"/>
      <c r="G21" s="31"/>
      <c r="H21" s="52"/>
    </row>
    <row r="22" spans="1:8" ht="12.75" customHeight="1">
      <c r="A22" s="3" t="s">
        <v>426</v>
      </c>
      <c r="B22" s="31">
        <f>+'Summary Medians'!$G$139</f>
        <v>9276</v>
      </c>
      <c r="C22" s="31">
        <f>+'Summary Medians'!$G$140</f>
        <v>9284</v>
      </c>
      <c r="D22" s="31">
        <f>+'Summary Medians'!$G$141</f>
        <v>8570</v>
      </c>
      <c r="E22" s="31">
        <f>+'Summary Medians'!$G$142</f>
        <v>8492</v>
      </c>
      <c r="F22" s="31">
        <f>+'Summary Medians'!$G$143</f>
        <v>8441.5</v>
      </c>
      <c r="G22" s="31">
        <f>+'Summary Medians'!$G$144</f>
        <v>0</v>
      </c>
      <c r="H22" s="52">
        <f>+'Summary Medians'!$G$145</f>
        <v>8545.5</v>
      </c>
    </row>
    <row r="23" spans="1:8" ht="12.75" customHeight="1">
      <c r="A23" s="3" t="s">
        <v>427</v>
      </c>
      <c r="B23" s="31">
        <f>+'Summary Medians'!$G$156</f>
        <v>16864.5</v>
      </c>
      <c r="C23" s="31">
        <f>+'Summary Medians'!$G$157</f>
        <v>14403</v>
      </c>
      <c r="D23" s="31">
        <f>+'Summary Medians'!$G$158</f>
        <v>12709</v>
      </c>
      <c r="E23" s="31">
        <f>+'Summary Medians'!$G$159</f>
        <v>11957</v>
      </c>
      <c r="F23" s="31">
        <f>+'Summary Medians'!$G$160</f>
        <v>12265</v>
      </c>
      <c r="G23" s="31">
        <f>+'Summary Medians'!$G$161</f>
        <v>11015</v>
      </c>
      <c r="H23" s="52">
        <f>+'Summary Medians'!$G$162</f>
        <v>12641</v>
      </c>
    </row>
    <row r="24" spans="1:8" ht="12.75" customHeight="1">
      <c r="A24" s="3" t="s">
        <v>428</v>
      </c>
      <c r="B24" s="31">
        <f>+'Summary Medians'!$G$173</f>
        <v>11520</v>
      </c>
      <c r="C24" s="31">
        <f>+'Summary Medians'!$G$174</f>
        <v>0</v>
      </c>
      <c r="D24" s="31">
        <f>+'Summary Medians'!$G$175</f>
        <v>7590</v>
      </c>
      <c r="E24" s="31">
        <f>+'Summary Medians'!$G$176</f>
        <v>7350</v>
      </c>
      <c r="F24" s="31">
        <f>+'Summary Medians'!$G$177</f>
        <v>7320</v>
      </c>
      <c r="G24" s="31">
        <f>+'Summary Medians'!$G$178</f>
        <v>7080</v>
      </c>
      <c r="H24" s="52">
        <f>+'Summary Medians'!$G$179</f>
        <v>7380</v>
      </c>
    </row>
    <row r="25" spans="1:8" ht="12.75" customHeight="1">
      <c r="A25" s="3" t="s">
        <v>429</v>
      </c>
      <c r="B25" s="31">
        <f>+'Summary Medians'!$G$190</f>
        <v>16594</v>
      </c>
      <c r="C25" s="31">
        <f>+'Summary Medians'!$G$191</f>
        <v>14410</v>
      </c>
      <c r="D25" s="31">
        <f>+'Summary Medians'!$G$192</f>
        <v>14329</v>
      </c>
      <c r="E25" s="31">
        <f>+'Summary Medians'!$G$193</f>
        <v>14329</v>
      </c>
      <c r="F25" s="31">
        <f>+'Summary Medians'!$G$194</f>
        <v>12034</v>
      </c>
      <c r="G25" s="31">
        <f>+'Summary Medians'!$G$195</f>
        <v>12304</v>
      </c>
      <c r="H25" s="52">
        <f>+'Summary Medians'!$G$196</f>
        <v>14140</v>
      </c>
    </row>
    <row r="26" spans="1:8" ht="12.75" customHeight="1">
      <c r="A26" s="3"/>
      <c r="H26" s="53"/>
    </row>
    <row r="27" spans="1:8" ht="12.75" customHeight="1">
      <c r="A27" s="3" t="s">
        <v>430</v>
      </c>
      <c r="B27" s="31">
        <f>+'Summary Medians'!$G$207</f>
        <v>14529</v>
      </c>
      <c r="C27" s="31">
        <f>+'Summary Medians'!$G$208</f>
        <v>13204</v>
      </c>
      <c r="D27" s="31">
        <f>+'Summary Medians'!$G$209</f>
        <v>12521.5</v>
      </c>
      <c r="E27" s="31">
        <f>+'Summary Medians'!$G$210</f>
        <v>12585</v>
      </c>
      <c r="F27" s="31">
        <f>+'Summary Medians'!$G$211</f>
        <v>12388</v>
      </c>
      <c r="G27" s="31">
        <f>+'Summary Medians'!$G$212</f>
        <v>0</v>
      </c>
      <c r="H27" s="52">
        <f>+'Summary Medians'!$G$213</f>
        <v>12547</v>
      </c>
    </row>
    <row r="28" spans="1:8" ht="12.75" customHeight="1">
      <c r="A28" s="3" t="s">
        <v>431</v>
      </c>
      <c r="B28" s="31">
        <f>+'Summary Medians'!$G$224</f>
        <v>13634</v>
      </c>
      <c r="C28" s="31">
        <f>+'Summary Medians'!$G$225</f>
        <v>14070</v>
      </c>
      <c r="D28" s="31">
        <f>+'Summary Medians'!$G$226</f>
        <v>12019</v>
      </c>
      <c r="E28" s="31">
        <f>+'Summary Medians'!$G$227</f>
        <v>11383</v>
      </c>
      <c r="F28" s="31">
        <f>+'Summary Medians'!$G$228</f>
        <v>13065</v>
      </c>
      <c r="G28" s="31">
        <f>+'Summary Medians'!$G$229</f>
        <v>12773.45</v>
      </c>
      <c r="H28" s="52">
        <f>+'Summary Medians'!$G$230</f>
        <v>12032</v>
      </c>
    </row>
    <row r="29" spans="1:8" ht="12.75" customHeight="1">
      <c r="A29" s="3" t="s">
        <v>432</v>
      </c>
      <c r="B29" s="31">
        <f>+'Summary Medians'!$G$241</f>
        <v>19640.5</v>
      </c>
      <c r="C29" s="31">
        <f>+'Summary Medians'!$G$242</f>
        <v>16559</v>
      </c>
      <c r="D29" s="31">
        <f>+'Summary Medians'!$G$243</f>
        <v>13090</v>
      </c>
      <c r="E29" s="31">
        <f>+'Summary Medians'!$G$244</f>
        <v>12676</v>
      </c>
      <c r="F29" s="31">
        <f>+'Summary Medians'!$G$245</f>
        <v>12951</v>
      </c>
      <c r="G29" s="31">
        <f>+'Summary Medians'!$G$246</f>
        <v>13867.5</v>
      </c>
      <c r="H29" s="52">
        <f>+'Summary Medians'!$G$247</f>
        <v>14337.5</v>
      </c>
    </row>
    <row r="30" spans="1:8" ht="12.75" customHeight="1">
      <c r="A30" s="10" t="s">
        <v>433</v>
      </c>
      <c r="B30" s="36">
        <f>+'Summary Medians'!$G$258</f>
        <v>12060</v>
      </c>
      <c r="C30" s="36">
        <f>+'Summary Medians'!$G$259</f>
        <v>0</v>
      </c>
      <c r="D30" s="36">
        <f>+'Summary Medians'!$G$260</f>
        <v>10128</v>
      </c>
      <c r="E30" s="36">
        <f>+'Summary Medians'!$G$261</f>
        <v>0</v>
      </c>
      <c r="F30" s="36">
        <f>+'Summary Medians'!$G$262</f>
        <v>0</v>
      </c>
      <c r="G30" s="36">
        <f>+'Summary Medians'!$G$263</f>
        <v>7967</v>
      </c>
      <c r="H30" s="54">
        <f>+'Summary Medians'!$G$264</f>
        <v>8181</v>
      </c>
    </row>
    <row r="31" ht="9" customHeight="1"/>
    <row r="32" spans="1:8" ht="62.25" customHeight="1">
      <c r="A32" s="371" t="s">
        <v>1018</v>
      </c>
      <c r="B32" s="371"/>
      <c r="C32" s="371"/>
      <c r="D32" s="371"/>
      <c r="E32" s="371"/>
      <c r="F32" s="371"/>
      <c r="G32" s="371"/>
      <c r="H32" s="371"/>
    </row>
  </sheetData>
  <mergeCells count="1">
    <mergeCell ref="A32:H32"/>
  </mergeCells>
  <printOptions horizontalCentered="1"/>
  <pageMargins left="0.75" right="0.75" top="1" bottom="1" header="0.6" footer="0.5"/>
  <pageSetup horizontalDpi="600" verticalDpi="600" orientation="landscape" r:id="rId1"/>
  <headerFooter alignWithMargins="0">
    <oddHeader>&amp;R&amp;"Arial,Regular"&amp;8SREB-State Data Exchange</oddHeader>
    <oddFooter>&amp;C&amp;"Arial,Regular"&amp;10 161&amp;R&amp;"Arial,Regular"&amp;8December 2005</oddFooter>
  </headerFooter>
</worksheet>
</file>

<file path=xl/worksheets/sheet8.xml><?xml version="1.0" encoding="utf-8"?>
<worksheet xmlns="http://schemas.openxmlformats.org/spreadsheetml/2006/main" xmlns:r="http://schemas.openxmlformats.org/officeDocument/2006/relationships">
  <sheetPr>
    <tabColor indexed="16"/>
  </sheetPr>
  <dimension ref="A1:J33"/>
  <sheetViews>
    <sheetView showZeros="0" view="pageBreakPreview" zoomScaleNormal="75" zoomScaleSheetLayoutView="100" workbookViewId="0" topLeftCell="A4">
      <selection activeCell="J33" sqref="J33"/>
    </sheetView>
  </sheetViews>
  <sheetFormatPr defaultColWidth="8.796875" defaultRowHeight="15"/>
  <cols>
    <col min="1" max="1" width="17.09765625" style="0" customWidth="1"/>
    <col min="2" max="8" width="8.59765625" style="0" customWidth="1"/>
    <col min="9" max="9" width="8.69921875" style="0" bestFit="1" customWidth="1"/>
    <col min="10" max="10" width="8.09765625" style="26" customWidth="1"/>
    <col min="11" max="11" width="10.5" style="0" customWidth="1"/>
  </cols>
  <sheetData>
    <row r="1" spans="1:10" ht="18">
      <c r="A1" s="372" t="s">
        <v>1124</v>
      </c>
      <c r="B1" s="372"/>
      <c r="C1" s="372"/>
      <c r="D1" s="372"/>
      <c r="E1" s="372"/>
      <c r="F1" s="372"/>
      <c r="G1" s="372"/>
      <c r="H1" s="372"/>
      <c r="I1" s="372"/>
      <c r="J1" s="372"/>
    </row>
    <row r="2" spans="1:10" s="176" customFormat="1" ht="12.75">
      <c r="A2" s="177"/>
      <c r="B2" s="177"/>
      <c r="C2" s="177"/>
      <c r="D2" s="177"/>
      <c r="E2" s="177"/>
      <c r="F2" s="177"/>
      <c r="G2" s="177"/>
      <c r="H2" s="177"/>
      <c r="I2" s="177"/>
      <c r="J2" s="177"/>
    </row>
    <row r="3" spans="1:10" s="176" customFormat="1" ht="15.75">
      <c r="A3" s="373" t="s">
        <v>416</v>
      </c>
      <c r="B3" s="373"/>
      <c r="C3" s="373"/>
      <c r="D3" s="373"/>
      <c r="E3" s="373"/>
      <c r="F3" s="373"/>
      <c r="G3" s="373"/>
      <c r="H3" s="373"/>
      <c r="I3" s="373"/>
      <c r="J3" s="373"/>
    </row>
    <row r="4" spans="1:10" ht="15.75">
      <c r="A4" s="373" t="s">
        <v>434</v>
      </c>
      <c r="B4" s="373"/>
      <c r="C4" s="373"/>
      <c r="D4" s="373"/>
      <c r="E4" s="373"/>
      <c r="F4" s="373"/>
      <c r="G4" s="373"/>
      <c r="H4" s="373"/>
      <c r="I4" s="373"/>
      <c r="J4" s="373"/>
    </row>
    <row r="5" spans="1:10" ht="15.75">
      <c r="A5" s="373" t="s">
        <v>701</v>
      </c>
      <c r="B5" s="373"/>
      <c r="C5" s="373"/>
      <c r="D5" s="373"/>
      <c r="E5" s="373"/>
      <c r="F5" s="373"/>
      <c r="G5" s="373"/>
      <c r="H5" s="373"/>
      <c r="I5" s="373"/>
      <c r="J5" s="373"/>
    </row>
    <row r="6" spans="1:10" s="176" customFormat="1" ht="12.75">
      <c r="A6" s="3"/>
      <c r="B6" s="3"/>
      <c r="C6" s="3"/>
      <c r="D6" s="3"/>
      <c r="E6" s="3"/>
      <c r="F6" s="3"/>
      <c r="G6" s="3"/>
      <c r="H6" s="3"/>
      <c r="I6" s="3"/>
      <c r="J6" s="6"/>
    </row>
    <row r="7" spans="1:10" s="176" customFormat="1" ht="12.75">
      <c r="A7" s="4"/>
      <c r="B7" s="14" t="s">
        <v>471</v>
      </c>
      <c r="C7" s="14"/>
      <c r="D7" s="14"/>
      <c r="E7" s="14"/>
      <c r="F7" s="184"/>
      <c r="G7" s="185" t="s">
        <v>1049</v>
      </c>
      <c r="H7" s="14"/>
      <c r="I7" s="14"/>
      <c r="J7" s="186"/>
    </row>
    <row r="8" spans="1:10" s="15" customFormat="1" ht="30.75" customHeight="1">
      <c r="A8" s="239"/>
      <c r="B8" s="79" t="s">
        <v>457</v>
      </c>
      <c r="C8" s="237">
        <v>1</v>
      </c>
      <c r="D8" s="237">
        <v>2</v>
      </c>
      <c r="E8" s="237">
        <v>3</v>
      </c>
      <c r="F8" s="240" t="s">
        <v>949</v>
      </c>
      <c r="G8" s="237">
        <v>1</v>
      </c>
      <c r="H8" s="237">
        <v>2</v>
      </c>
      <c r="I8" s="64" t="s">
        <v>472</v>
      </c>
      <c r="J8" s="241" t="s">
        <v>949</v>
      </c>
    </row>
    <row r="9" spans="1:10" ht="12.75" customHeight="1">
      <c r="A9" s="7" t="s">
        <v>973</v>
      </c>
      <c r="B9" s="27">
        <f>'Summary Medians'!G282</f>
        <v>6030</v>
      </c>
      <c r="C9" s="27">
        <f>'Summary Medians'!G283</f>
        <v>6429</v>
      </c>
      <c r="D9" s="27">
        <f>'Summary Medians'!G284</f>
        <v>6357</v>
      </c>
      <c r="E9" s="27">
        <f>'Summary Medians'!G285</f>
        <v>5978</v>
      </c>
      <c r="F9" s="45">
        <f>+'Summary Medians'!G286</f>
        <v>6083</v>
      </c>
      <c r="G9" s="28">
        <f>+'Summary Medians'!$G$287</f>
        <v>2161.5</v>
      </c>
      <c r="H9" s="60">
        <f>+'Summary Medians'!$G$288</f>
        <v>2160</v>
      </c>
      <c r="I9" s="73">
        <f>+'Summary Medians'!$G$289</f>
        <v>1455</v>
      </c>
      <c r="J9" s="28">
        <f>+'Summary Medians'!$G$290</f>
        <v>1673</v>
      </c>
    </row>
    <row r="10" spans="1:10" ht="9" customHeight="1">
      <c r="A10" s="7"/>
      <c r="B10" s="49"/>
      <c r="C10" s="49"/>
      <c r="D10" s="49"/>
      <c r="E10" s="49"/>
      <c r="F10" s="45"/>
      <c r="G10" s="30"/>
      <c r="H10" s="61"/>
      <c r="I10" s="66"/>
      <c r="J10" s="30"/>
    </row>
    <row r="11" spans="1:10" ht="12.75" customHeight="1">
      <c r="A11" s="3" t="s">
        <v>419</v>
      </c>
      <c r="B11" s="31">
        <f>'Summary Medians'!G10</f>
        <v>0</v>
      </c>
      <c r="C11" s="31">
        <f>'Summary Medians'!G11</f>
        <v>4830</v>
      </c>
      <c r="D11" s="31">
        <f>'Summary Medians'!G12</f>
        <v>4830</v>
      </c>
      <c r="E11" s="31">
        <f>'Summary Medians'!G13</f>
        <v>4830</v>
      </c>
      <c r="F11" s="45">
        <f>+'Summary Medians'!$G$14</f>
        <v>4830</v>
      </c>
      <c r="G11" s="32">
        <f>+'Summary Medians'!$G$15</f>
        <v>4830</v>
      </c>
      <c r="H11" s="35">
        <f>+'Summary Medians'!$G$16</f>
        <v>4830</v>
      </c>
      <c r="I11" s="65">
        <f>+'Summary Medians'!$G$17</f>
        <v>0</v>
      </c>
      <c r="J11" s="32">
        <f>+'Summary Medians'!$G$18</f>
        <v>4830</v>
      </c>
    </row>
    <row r="12" spans="1:10" ht="12.75" customHeight="1">
      <c r="A12" s="3" t="s">
        <v>420</v>
      </c>
      <c r="B12" s="31">
        <f>'Summary Medians'!G27</f>
        <v>7380</v>
      </c>
      <c r="C12" s="31">
        <f>'Summary Medians'!G28</f>
        <v>0</v>
      </c>
      <c r="D12" s="31">
        <f>'Summary Medians'!G29</f>
        <v>3540</v>
      </c>
      <c r="E12" s="31">
        <f>'Summary Medians'!G30</f>
        <v>3490</v>
      </c>
      <c r="F12" s="45">
        <f>'Summary Medians'!$G$31</f>
        <v>3508</v>
      </c>
      <c r="G12" s="32">
        <f>+'Summary Medians'!$G$32</f>
        <v>0</v>
      </c>
      <c r="H12" s="35">
        <f>+'Summary Medians'!$G$33</f>
        <v>0</v>
      </c>
      <c r="I12" s="65">
        <f>+'Summary Medians'!$G$34</f>
        <v>0</v>
      </c>
      <c r="J12" s="32">
        <f>+'Summary Medians'!$G$35</f>
        <v>0</v>
      </c>
    </row>
    <row r="13" spans="1:10" ht="12.75" customHeight="1">
      <c r="A13" s="3" t="s">
        <v>1031</v>
      </c>
      <c r="B13" s="31">
        <f>'Summary Medians'!G44</f>
        <v>0</v>
      </c>
      <c r="C13" s="31">
        <f>'Summary Medians'!G45</f>
        <v>0</v>
      </c>
      <c r="D13" s="31">
        <f>'Summary Medians'!G46</f>
        <v>4860</v>
      </c>
      <c r="E13" s="31">
        <f>'Summary Medians'!G47</f>
        <v>4860</v>
      </c>
      <c r="F13" s="45">
        <f>+'Summary Medians'!$G$48</f>
        <v>4860</v>
      </c>
      <c r="G13" s="32">
        <f>+'Summary Medians'!$G$49</f>
        <v>0</v>
      </c>
      <c r="H13" s="35">
        <f>+'Summary Medians'!$G$50</f>
        <v>0</v>
      </c>
      <c r="I13" s="65">
        <f>+'Summary Medians'!$G$51</f>
        <v>0</v>
      </c>
      <c r="J13" s="32">
        <f>+'Summary Medians'!$G$52</f>
        <v>0</v>
      </c>
    </row>
    <row r="14" spans="1:10" ht="12.75" customHeight="1">
      <c r="A14" s="9" t="s">
        <v>421</v>
      </c>
      <c r="B14" s="29">
        <f>'Summary Medians'!G61</f>
        <v>0</v>
      </c>
      <c r="C14" s="29">
        <f>'Summary Medians'!G62</f>
        <v>6753</v>
      </c>
      <c r="D14" s="29">
        <f>'Summary Medians'!G63</f>
        <v>6599</v>
      </c>
      <c r="E14" s="29">
        <f>'Summary Medians'!G64</f>
        <v>6390</v>
      </c>
      <c r="F14" s="45">
        <f>+'Summary Medians'!$G$65</f>
        <v>6630</v>
      </c>
      <c r="G14" s="30">
        <f>+'Summary Medians'!$G$66</f>
        <v>0</v>
      </c>
      <c r="H14" s="61">
        <f>+'Summary Medians'!$G$67</f>
        <v>0</v>
      </c>
      <c r="I14" s="66">
        <f>+'Summary Medians'!$G$68</f>
        <v>0</v>
      </c>
      <c r="J14" s="30">
        <f>+'Summary Medians'!$G$69</f>
        <v>0</v>
      </c>
    </row>
    <row r="15" spans="1:10" ht="6.75" customHeight="1">
      <c r="A15" s="9"/>
      <c r="B15" s="31"/>
      <c r="C15" s="31"/>
      <c r="D15" s="31"/>
      <c r="E15" s="31"/>
      <c r="F15" s="45"/>
      <c r="G15" s="30"/>
      <c r="H15" s="61"/>
      <c r="I15" s="66"/>
      <c r="J15" s="30"/>
    </row>
    <row r="16" spans="1:10" ht="12.75" customHeight="1">
      <c r="A16" s="7" t="s">
        <v>422</v>
      </c>
      <c r="B16" s="29">
        <f>'Summary Medians'!G78</f>
        <v>6013</v>
      </c>
      <c r="C16" s="29">
        <f>'Summary Medians'!G79</f>
        <v>6128</v>
      </c>
      <c r="D16" s="29">
        <f>'Summary Medians'!G80</f>
        <v>6060</v>
      </c>
      <c r="E16" s="29">
        <f>'Summary Medians'!G81</f>
        <v>6082</v>
      </c>
      <c r="F16" s="45">
        <f>+'Summary Medians'!$G$82</f>
        <v>6060</v>
      </c>
      <c r="G16" s="30">
        <f>+'Summary Medians'!$G$83</f>
        <v>2155.5</v>
      </c>
      <c r="H16" s="61">
        <f>+'Summary Medians'!$G$84</f>
        <v>2154</v>
      </c>
      <c r="I16" s="66">
        <f>+'Summary Medians'!$G$85</f>
        <v>0</v>
      </c>
      <c r="J16" s="30">
        <f>+'Summary Medians'!$G$86</f>
        <v>2154</v>
      </c>
    </row>
    <row r="17" spans="1:10" ht="12.75" customHeight="1">
      <c r="A17" s="3" t="s">
        <v>423</v>
      </c>
      <c r="B17" s="31">
        <f>'Summary Medians'!G95</f>
        <v>0</v>
      </c>
      <c r="C17" s="31">
        <f>'Summary Medians'!G96</f>
        <v>8280</v>
      </c>
      <c r="D17" s="31">
        <f>'Summary Medians'!G97</f>
        <v>8280</v>
      </c>
      <c r="E17" s="31">
        <f>'Summary Medians'!G98</f>
        <v>8280</v>
      </c>
      <c r="F17" s="45">
        <f>+'Summary Medians'!$G$99</f>
        <v>8280</v>
      </c>
      <c r="G17" s="32">
        <f>+'Summary Medians'!$G$100</f>
        <v>8280</v>
      </c>
      <c r="H17" s="35">
        <f>+'Summary Medians'!$G$101</f>
        <v>8280</v>
      </c>
      <c r="I17" s="65">
        <f>+'Summary Medians'!$G$102</f>
        <v>0</v>
      </c>
      <c r="J17" s="32">
        <f>+'Summary Medians'!$G$103</f>
        <v>8280</v>
      </c>
    </row>
    <row r="18" spans="1:10" ht="12.75" customHeight="1">
      <c r="A18" s="3" t="s">
        <v>424</v>
      </c>
      <c r="B18" s="29">
        <f>'Summary Medians'!G112</f>
        <v>0</v>
      </c>
      <c r="C18" s="29">
        <f>'Summary Medians'!G113</f>
        <v>4824</v>
      </c>
      <c r="D18" s="29">
        <f>'Summary Medians'!G114</f>
        <v>4362</v>
      </c>
      <c r="E18" s="29">
        <f>'Summary Medians'!G115</f>
        <v>4099</v>
      </c>
      <c r="F18" s="45">
        <f>+'Summary Medians'!$G$116</f>
        <v>4300</v>
      </c>
      <c r="G18" s="30">
        <f>+'Summary Medians'!$G$117</f>
        <v>1724</v>
      </c>
      <c r="H18" s="61">
        <f>+'Summary Medians'!$G$118</f>
        <v>1622</v>
      </c>
      <c r="I18" s="66">
        <f>+'Summary Medians'!$G$119</f>
        <v>1455</v>
      </c>
      <c r="J18" s="30">
        <f>+'Summary Medians'!$G$120</f>
        <v>1455</v>
      </c>
    </row>
    <row r="19" spans="1:10" ht="12.75" customHeight="1">
      <c r="A19" s="7" t="s">
        <v>425</v>
      </c>
      <c r="B19" s="29">
        <f>'Summary Medians'!G129</f>
        <v>0</v>
      </c>
      <c r="C19" s="29">
        <f>'Summary Medians'!G130</f>
        <v>8435</v>
      </c>
      <c r="D19" s="29">
        <f>'Summary Medians'!G131</f>
        <v>7025</v>
      </c>
      <c r="E19" s="29">
        <f>'Summary Medians'!G132</f>
        <v>5970</v>
      </c>
      <c r="F19" s="45">
        <f>+'Summary Medians'!$G$133</f>
        <v>6881.5</v>
      </c>
      <c r="G19" s="30">
        <f>+'Summary Medians'!$G$134</f>
        <v>0</v>
      </c>
      <c r="H19" s="61">
        <f>+'Summary Medians'!$G$135</f>
        <v>0</v>
      </c>
      <c r="I19" s="66">
        <f>+'Summary Medians'!$G$136</f>
        <v>0</v>
      </c>
      <c r="J19" s="30">
        <f>+'Summary Medians'!$G$137</f>
        <v>0</v>
      </c>
    </row>
    <row r="20" spans="1:10" ht="5.25" customHeight="1">
      <c r="A20" s="7"/>
      <c r="B20" s="29"/>
      <c r="C20" s="29"/>
      <c r="D20" s="29"/>
      <c r="E20" s="29"/>
      <c r="F20" s="45"/>
      <c r="G20" s="30"/>
      <c r="H20" s="61"/>
      <c r="I20" s="66"/>
      <c r="J20" s="30"/>
    </row>
    <row r="21" spans="1:10" ht="12.75" customHeight="1">
      <c r="A21" s="3" t="s">
        <v>426</v>
      </c>
      <c r="B21" s="31">
        <f>'Summary Medians'!G146</f>
        <v>0</v>
      </c>
      <c r="C21" s="31">
        <f>'Summary Medians'!G147</f>
        <v>3697</v>
      </c>
      <c r="D21" s="31">
        <f>'Summary Medians'!G148</f>
        <v>3300</v>
      </c>
      <c r="E21" s="31">
        <f>'Summary Medians'!G149</f>
        <v>4200</v>
      </c>
      <c r="F21" s="45">
        <f>+'Summary Medians'!$G$150</f>
        <v>3448</v>
      </c>
      <c r="G21" s="32">
        <f>+'Summary Medians'!$G$151</f>
        <v>0</v>
      </c>
      <c r="H21" s="35">
        <f>+'Summary Medians'!$G$152</f>
        <v>0</v>
      </c>
      <c r="I21" s="65">
        <f>+'Summary Medians'!$G$153</f>
        <v>0</v>
      </c>
      <c r="J21" s="32">
        <f>+'Summary Medians'!$G$154</f>
        <v>0</v>
      </c>
    </row>
    <row r="22" spans="1:10" ht="12.75" customHeight="1">
      <c r="A22" s="3" t="s">
        <v>427</v>
      </c>
      <c r="B22" s="31">
        <f>'Summary Medians'!G163</f>
        <v>0</v>
      </c>
      <c r="C22" s="31">
        <f>'Summary Medians'!G164</f>
        <v>6780</v>
      </c>
      <c r="D22" s="31">
        <f>'Summary Medians'!G165</f>
        <v>6752</v>
      </c>
      <c r="E22" s="31">
        <f>'Summary Medians'!G166</f>
        <v>6810</v>
      </c>
      <c r="F22" s="45">
        <f>+'Summary Medians'!$G$167</f>
        <v>6780</v>
      </c>
      <c r="G22" s="32">
        <f>+'Summary Medians'!$G$168</f>
        <v>0</v>
      </c>
      <c r="H22" s="35">
        <f>+'Summary Medians'!$G$169</f>
        <v>0</v>
      </c>
      <c r="I22" s="65">
        <f>+'Summary Medians'!$G$170</f>
        <v>0</v>
      </c>
      <c r="J22" s="31">
        <f>+'Summary Medians'!$G$171</f>
        <v>0</v>
      </c>
    </row>
    <row r="23" spans="1:10" ht="12.75" customHeight="1">
      <c r="A23" s="3" t="s">
        <v>428</v>
      </c>
      <c r="B23" s="31">
        <f>'Summary Medians'!G180</f>
        <v>7230</v>
      </c>
      <c r="C23" s="31">
        <f>'Summary Medians'!G181</f>
        <v>5346</v>
      </c>
      <c r="D23" s="31">
        <f>'Summary Medians'!G182</f>
        <v>5267.5</v>
      </c>
      <c r="E23" s="31">
        <f>'Summary Medians'!G183</f>
        <v>4995</v>
      </c>
      <c r="F23" s="45">
        <f>+'Summary Medians'!$G$184</f>
        <v>5070</v>
      </c>
      <c r="G23" s="32">
        <f>+'Summary Medians'!$G$185</f>
        <v>0</v>
      </c>
      <c r="H23" s="35">
        <f>+'Summary Medians'!$G$186</f>
        <v>0</v>
      </c>
      <c r="I23" s="65">
        <f>+'Summary Medians'!$G$187</f>
        <v>2625</v>
      </c>
      <c r="J23" s="31">
        <f>+'Summary Medians'!$G$188</f>
        <v>2625</v>
      </c>
    </row>
    <row r="24" spans="1:10" ht="12.75" customHeight="1">
      <c r="A24" s="3" t="s">
        <v>429</v>
      </c>
      <c r="B24" s="31">
        <f>'Summary Medians'!G197</f>
        <v>0</v>
      </c>
      <c r="C24" s="31">
        <f>'Summary Medians'!G198</f>
        <v>5900</v>
      </c>
      <c r="D24" s="31">
        <f>'Summary Medians'!G199</f>
        <v>5100</v>
      </c>
      <c r="E24" s="31">
        <f>'Summary Medians'!G200</f>
        <v>8831</v>
      </c>
      <c r="F24" s="45">
        <f>+'Summary Medians'!$G$201</f>
        <v>5370</v>
      </c>
      <c r="G24" s="32">
        <f>+'Summary Medians'!$G$202</f>
        <v>0</v>
      </c>
      <c r="H24" s="35">
        <f>+'Summary Medians'!$G$203</f>
        <v>0</v>
      </c>
      <c r="I24" s="65">
        <f>+'Summary Medians'!$G$204</f>
        <v>0</v>
      </c>
      <c r="J24" s="31">
        <f>+'Summary Medians'!$G$205</f>
        <v>0</v>
      </c>
    </row>
    <row r="25" spans="1:10" ht="9" customHeight="1">
      <c r="A25" s="3"/>
      <c r="B25" s="31"/>
      <c r="C25" s="31"/>
      <c r="D25" s="31"/>
      <c r="E25" s="31"/>
      <c r="F25" s="45"/>
      <c r="G25" s="32"/>
      <c r="H25" s="35"/>
      <c r="I25" s="65"/>
      <c r="J25" s="31"/>
    </row>
    <row r="26" spans="1:10" ht="12.75" customHeight="1">
      <c r="A26" s="3" t="s">
        <v>430</v>
      </c>
      <c r="B26" s="31">
        <f>'Summary Medians'!G214</f>
        <v>0</v>
      </c>
      <c r="C26" s="31">
        <f>'Summary Medians'!G215</f>
        <v>8059</v>
      </c>
      <c r="D26" s="31">
        <f>'Summary Medians'!G216</f>
        <v>8033</v>
      </c>
      <c r="E26" s="31">
        <f>'Summary Medians'!G217</f>
        <v>8029</v>
      </c>
      <c r="F26" s="45">
        <f>+'Summary Medians'!$G$218</f>
        <v>8033</v>
      </c>
      <c r="G26" s="32">
        <f>+'Summary Medians'!$G$219</f>
        <v>0</v>
      </c>
      <c r="H26" s="35">
        <f>+'Summary Medians'!$G$220</f>
        <v>0</v>
      </c>
      <c r="I26" s="65">
        <f>+'Summary Medians'!$G$221</f>
        <v>0</v>
      </c>
      <c r="J26" s="31">
        <f>+'Summary Medians'!$G$222</f>
        <v>0</v>
      </c>
    </row>
    <row r="27" spans="1:10" ht="12.75" customHeight="1">
      <c r="A27" s="3" t="s">
        <v>431</v>
      </c>
      <c r="B27" s="31">
        <f>'Summary Medians'!G231</f>
        <v>0</v>
      </c>
      <c r="C27" s="31">
        <f>'Summary Medians'!G232</f>
        <v>2914</v>
      </c>
      <c r="D27" s="31">
        <f>'Summary Medians'!G233</f>
        <v>2543</v>
      </c>
      <c r="E27" s="31">
        <f>'Summary Medians'!G234</f>
        <v>2425</v>
      </c>
      <c r="F27" s="45">
        <f>+'Summary Medians'!$G$235</f>
        <v>2676</v>
      </c>
      <c r="G27" s="32">
        <f>+'Summary Medians'!$G$236</f>
        <v>0</v>
      </c>
      <c r="H27" s="35">
        <f>+'Summary Medians'!$G$237</f>
        <v>0</v>
      </c>
      <c r="I27" s="65">
        <f>+'Summary Medians'!$G$238</f>
        <v>0</v>
      </c>
      <c r="J27" s="31">
        <f>+'Summary Medians'!$G$239</f>
        <v>0</v>
      </c>
    </row>
    <row r="28" spans="1:10" ht="12.75" customHeight="1">
      <c r="A28" s="3" t="s">
        <v>1037</v>
      </c>
      <c r="B28" s="31">
        <f>'Summary Medians'!G248</f>
        <v>0</v>
      </c>
      <c r="C28" s="31">
        <f>'Summary Medians'!G249</f>
        <v>6429</v>
      </c>
      <c r="D28" s="31">
        <f>'Summary Medians'!G250</f>
        <v>6429</v>
      </c>
      <c r="E28" s="31">
        <f>'Summary Medians'!G251</f>
        <v>6429</v>
      </c>
      <c r="F28" s="45">
        <f>+'Summary Medians'!$G$252</f>
        <v>6429</v>
      </c>
      <c r="G28" s="32">
        <f>+'Summary Medians'!$G$253</f>
        <v>0</v>
      </c>
      <c r="H28" s="35">
        <f>+'Summary Medians'!$G$254</f>
        <v>0</v>
      </c>
      <c r="I28" s="65">
        <f>+'Summary Medians'!$G$255</f>
        <v>0</v>
      </c>
      <c r="J28" s="31">
        <f>+'Summary Medians'!$G$256</f>
        <v>0</v>
      </c>
    </row>
    <row r="29" spans="1:10" ht="12.75" customHeight="1">
      <c r="A29" s="10" t="s">
        <v>433</v>
      </c>
      <c r="B29" s="33">
        <f>'Summary Medians'!G265</f>
        <v>5772</v>
      </c>
      <c r="C29" s="33">
        <f>'Summary Medians'!G266</f>
        <v>0</v>
      </c>
      <c r="D29" s="33">
        <f>'Summary Medians'!G267</f>
        <v>7072</v>
      </c>
      <c r="E29" s="33">
        <f>'Summary Medians'!G268</f>
        <v>6894</v>
      </c>
      <c r="F29" s="46">
        <f>+'Summary Medians'!$G$269</f>
        <v>6894</v>
      </c>
      <c r="G29" s="34">
        <f>+'Summary Medians'!$G$270</f>
        <v>0</v>
      </c>
      <c r="H29" s="33">
        <f>+'Summary Medians'!$G$271</f>
        <v>0</v>
      </c>
      <c r="I29" s="67">
        <f>+'Summary Medians'!$G$272</f>
        <v>0</v>
      </c>
      <c r="J29" s="33">
        <f>+'Summary Medians'!$G$273</f>
        <v>0</v>
      </c>
    </row>
    <row r="30" spans="1:10" ht="9" customHeight="1">
      <c r="A30" s="6"/>
      <c r="B30" s="12"/>
      <c r="C30" s="12"/>
      <c r="D30" s="12"/>
      <c r="E30" s="12"/>
      <c r="F30" s="12"/>
      <c r="G30" s="12"/>
      <c r="H30" s="12"/>
      <c r="I30" s="12"/>
      <c r="J30" s="12"/>
    </row>
    <row r="31" spans="1:10" ht="15.75">
      <c r="A31" s="21" t="s">
        <v>412</v>
      </c>
      <c r="B31" s="1"/>
      <c r="C31" s="1"/>
      <c r="D31" s="1"/>
      <c r="E31" s="1"/>
      <c r="F31" s="1"/>
      <c r="G31" s="1"/>
      <c r="H31" s="1"/>
      <c r="I31" s="1"/>
      <c r="J31" s="2"/>
    </row>
    <row r="32" spans="1:10" ht="51.75" customHeight="1">
      <c r="A32" s="374" t="s">
        <v>1018</v>
      </c>
      <c r="B32" s="374"/>
      <c r="C32" s="374"/>
      <c r="D32" s="374"/>
      <c r="E32" s="374"/>
      <c r="F32" s="374"/>
      <c r="G32" s="374"/>
      <c r="H32" s="374"/>
      <c r="I32" s="374"/>
      <c r="J32" s="374"/>
    </row>
    <row r="33" ht="15.75">
      <c r="J33" s="377" t="s">
        <v>37</v>
      </c>
    </row>
  </sheetData>
  <mergeCells count="5">
    <mergeCell ref="A32:J32"/>
    <mergeCell ref="A1:J1"/>
    <mergeCell ref="A3:J3"/>
    <mergeCell ref="A4:J4"/>
    <mergeCell ref="A5:J5"/>
  </mergeCells>
  <printOptions horizontalCentered="1"/>
  <pageMargins left="0.75" right="0.75" top="1" bottom="1" header="0.6" footer="0.5"/>
  <pageSetup horizontalDpi="600" verticalDpi="600" orientation="landscape" r:id="rId1"/>
  <headerFooter alignWithMargins="0">
    <oddHeader>&amp;R&amp;"Arial,Regular"&amp;8SREB-State Data Exchange</oddHeader>
    <oddFooter>&amp;C&amp;"ARIAL,Regular"&amp;10 162</oddFooter>
  </headerFooter>
</worksheet>
</file>

<file path=xl/worksheets/sheet9.xml><?xml version="1.0" encoding="utf-8"?>
<worksheet xmlns="http://schemas.openxmlformats.org/spreadsheetml/2006/main" xmlns:r="http://schemas.openxmlformats.org/officeDocument/2006/relationships">
  <sheetPr>
    <tabColor indexed="16"/>
  </sheetPr>
  <dimension ref="A1:H33"/>
  <sheetViews>
    <sheetView showZeros="0" tabSelected="1" zoomScale="75" zoomScaleNormal="75" workbookViewId="0" topLeftCell="A1">
      <selection activeCell="H33" sqref="H33"/>
    </sheetView>
  </sheetViews>
  <sheetFormatPr defaultColWidth="8.796875" defaultRowHeight="15"/>
  <cols>
    <col min="1" max="1" width="17.59765625" style="0" customWidth="1"/>
    <col min="2" max="8" width="8.59765625" style="0" customWidth="1"/>
  </cols>
  <sheetData>
    <row r="1" spans="1:8" ht="18">
      <c r="A1" s="372" t="s">
        <v>1125</v>
      </c>
      <c r="B1" s="372"/>
      <c r="C1" s="372"/>
      <c r="D1" s="372"/>
      <c r="E1" s="372"/>
      <c r="F1" s="372"/>
      <c r="G1" s="372"/>
      <c r="H1" s="372"/>
    </row>
    <row r="2" spans="1:7" ht="14.25" customHeight="1">
      <c r="A2" s="23"/>
      <c r="B2" s="23"/>
      <c r="C2" s="23"/>
      <c r="D2" s="23"/>
      <c r="E2" s="23"/>
      <c r="F2" s="23"/>
      <c r="G2" s="23"/>
    </row>
    <row r="3" spans="1:8" s="176" customFormat="1" ht="15.75">
      <c r="A3" s="373" t="s">
        <v>416</v>
      </c>
      <c r="B3" s="373"/>
      <c r="C3" s="373"/>
      <c r="D3" s="373"/>
      <c r="E3" s="373"/>
      <c r="F3" s="373"/>
      <c r="G3" s="373"/>
      <c r="H3" s="373"/>
    </row>
    <row r="4" spans="1:8" ht="15.75">
      <c r="A4" s="373" t="s">
        <v>435</v>
      </c>
      <c r="B4" s="373"/>
      <c r="C4" s="373"/>
      <c r="D4" s="373"/>
      <c r="E4" s="373"/>
      <c r="F4" s="373"/>
      <c r="G4" s="373"/>
      <c r="H4" s="373"/>
    </row>
    <row r="5" spans="1:8" ht="15.75">
      <c r="A5" s="373" t="s">
        <v>700</v>
      </c>
      <c r="B5" s="373"/>
      <c r="C5" s="373"/>
      <c r="D5" s="373"/>
      <c r="E5" s="373"/>
      <c r="F5" s="373"/>
      <c r="G5" s="373"/>
      <c r="H5" s="373"/>
    </row>
    <row r="6" spans="1:7" ht="9.75" customHeight="1">
      <c r="A6" s="13"/>
      <c r="B6" s="13"/>
      <c r="C6" s="13"/>
      <c r="D6" s="13"/>
      <c r="E6" s="13"/>
      <c r="F6" s="13"/>
      <c r="G6" s="13"/>
    </row>
    <row r="7" spans="1:8" s="176" customFormat="1" ht="12.75">
      <c r="A7" s="14"/>
      <c r="B7" s="14" t="s">
        <v>418</v>
      </c>
      <c r="C7" s="14"/>
      <c r="D7" s="14"/>
      <c r="E7" s="14"/>
      <c r="F7" s="14"/>
      <c r="G7" s="14"/>
      <c r="H7" s="183"/>
    </row>
    <row r="8" spans="1:8" s="15" customFormat="1" ht="27" customHeight="1">
      <c r="A8" s="236"/>
      <c r="B8" s="237">
        <v>1</v>
      </c>
      <c r="C8" s="237">
        <v>2</v>
      </c>
      <c r="D8" s="237">
        <v>3</v>
      </c>
      <c r="E8" s="237">
        <v>4</v>
      </c>
      <c r="F8" s="237">
        <v>5</v>
      </c>
      <c r="G8" s="237">
        <v>6</v>
      </c>
      <c r="H8" s="238" t="s">
        <v>949</v>
      </c>
    </row>
    <row r="9" spans="2:7" ht="9" customHeight="1">
      <c r="B9" s="15"/>
      <c r="C9" s="15"/>
      <c r="D9" s="15"/>
      <c r="E9" s="15"/>
      <c r="F9" s="15"/>
      <c r="G9" s="75"/>
    </row>
    <row r="10" spans="1:8" ht="12.75" customHeight="1">
      <c r="A10" s="7" t="s">
        <v>973</v>
      </c>
      <c r="B10" s="80">
        <f>+'Summary Medians'!J275</f>
        <v>5377</v>
      </c>
      <c r="C10" s="80">
        <f>+'Summary Medians'!$J$276</f>
        <v>5521.2</v>
      </c>
      <c r="D10" s="80">
        <f>+'Summary Medians'!$J$277</f>
        <v>4063</v>
      </c>
      <c r="E10" s="80">
        <f>+'Summary Medians'!J278</f>
        <v>4208</v>
      </c>
      <c r="F10" s="80">
        <f>+'Summary Medians'!$J$279</f>
        <v>3967.5</v>
      </c>
      <c r="G10" s="80">
        <f>+'Summary Medians'!$J$280</f>
        <v>3910</v>
      </c>
      <c r="H10" s="81">
        <f>+'Summary Medians'!J281</f>
        <v>4297.2</v>
      </c>
    </row>
    <row r="11" spans="1:8" ht="9" customHeight="1">
      <c r="A11" s="7"/>
      <c r="B11" s="49"/>
      <c r="C11" s="49"/>
      <c r="D11" s="49"/>
      <c r="E11" s="49"/>
      <c r="F11" s="49"/>
      <c r="G11" s="51"/>
      <c r="H11" s="70"/>
    </row>
    <row r="12" spans="1:8" ht="12.75" customHeight="1">
      <c r="A12" s="3" t="s">
        <v>419</v>
      </c>
      <c r="B12" s="31">
        <f>+'Summary Medians'!$J$3</f>
        <v>4630</v>
      </c>
      <c r="C12" s="31">
        <f>+'Summary Medians'!$J$4</f>
        <v>5646</v>
      </c>
      <c r="D12" s="31">
        <f>+'Summary Medians'!$J$5</f>
        <v>4488</v>
      </c>
      <c r="E12" s="31">
        <f>+'Summary Medians'!$J$6</f>
        <v>4457</v>
      </c>
      <c r="F12" s="31">
        <f>+'Summary Medians'!$J$7</f>
        <v>4464</v>
      </c>
      <c r="G12" s="31" t="str">
        <f>+'Summary Medians'!$J$8</f>
        <v> </v>
      </c>
      <c r="H12" s="52">
        <f>+'Summary Medians'!$J$9</f>
        <v>4512</v>
      </c>
    </row>
    <row r="13" spans="1:8" ht="12.75" customHeight="1">
      <c r="A13" s="3" t="s">
        <v>420</v>
      </c>
      <c r="B13" s="31">
        <f>+'Summary Medians'!$J$20</f>
        <v>6617</v>
      </c>
      <c r="C13" s="31">
        <f>+'Summary Medians'!$J$21</f>
        <v>0</v>
      </c>
      <c r="D13" s="31">
        <f>+'Summary Medians'!$J$22</f>
        <v>5261</v>
      </c>
      <c r="E13" s="31">
        <f>+'Summary Medians'!$J$23</f>
        <v>0</v>
      </c>
      <c r="F13" s="31">
        <f>+'Summary Medians'!$J$24</f>
        <v>4188</v>
      </c>
      <c r="G13" s="31">
        <f>+'Summary Medians'!$J$25</f>
        <v>3806</v>
      </c>
      <c r="H13" s="52">
        <f>+'Summary Medians'!$J$26</f>
        <v>4357</v>
      </c>
    </row>
    <row r="14" spans="1:8" ht="12.75" customHeight="1">
      <c r="A14" s="3" t="s">
        <v>1031</v>
      </c>
      <c r="B14" s="31">
        <f>+'Summary Medians'!$J$37</f>
        <v>6826</v>
      </c>
      <c r="C14" s="31">
        <f>+'Summary Medians'!$J$38</f>
        <v>0</v>
      </c>
      <c r="D14" s="31">
        <f>+'Summary Medians'!$J$39</f>
        <v>0</v>
      </c>
      <c r="E14" s="31">
        <f>+'Summary Medians'!$J$40</f>
        <v>4936</v>
      </c>
      <c r="F14" s="31">
        <f>+'Summary Medians'!$J$41</f>
        <v>0</v>
      </c>
      <c r="G14" s="31">
        <f>+'Summary Medians'!$J$42</f>
        <v>0</v>
      </c>
      <c r="H14" s="52">
        <f>+'Summary Medians'!$J$43</f>
        <v>5881</v>
      </c>
    </row>
    <row r="15" spans="1:8" ht="12.75" customHeight="1">
      <c r="A15" s="7" t="s">
        <v>421</v>
      </c>
      <c r="B15" s="31">
        <f>+'Summary Medians'!$J$54</f>
        <v>5483.52</v>
      </c>
      <c r="C15" s="31">
        <f>+'Summary Medians'!$J$55</f>
        <v>5663.52</v>
      </c>
      <c r="D15" s="31">
        <f>+'Summary Medians'!$J$56</f>
        <v>5550.96</v>
      </c>
      <c r="E15" s="31">
        <f>+'Summary Medians'!$J$57</f>
        <v>0</v>
      </c>
      <c r="F15" s="31">
        <f>+'Summary Medians'!$J$58</f>
        <v>5363.96</v>
      </c>
      <c r="G15" s="31">
        <f>+'Summary Medians'!$J$59</f>
        <v>0</v>
      </c>
      <c r="H15" s="52">
        <f>+'Summary Medians'!$J$60</f>
        <v>5559.12</v>
      </c>
    </row>
    <row r="16" spans="1:8" ht="9" customHeight="1">
      <c r="A16" s="7"/>
      <c r="B16" s="31"/>
      <c r="C16" s="31"/>
      <c r="D16" s="31"/>
      <c r="E16" s="31"/>
      <c r="F16" s="31"/>
      <c r="G16" s="31"/>
      <c r="H16" s="52"/>
    </row>
    <row r="17" spans="1:8" ht="12.75" customHeight="1">
      <c r="A17" s="7" t="s">
        <v>422</v>
      </c>
      <c r="B17" s="31">
        <f>+'Summary Medians'!$J$71</f>
        <v>4889</v>
      </c>
      <c r="C17" s="31">
        <f>+'Summary Medians'!$J$72</f>
        <v>4954</v>
      </c>
      <c r="D17" s="31">
        <f>+'Summary Medians'!$J$73</f>
        <v>3513</v>
      </c>
      <c r="E17" s="31">
        <f>+'Summary Medians'!$J$74</f>
        <v>3361</v>
      </c>
      <c r="F17" s="31">
        <f>+'Summary Medians'!$J$75</f>
        <v>3368</v>
      </c>
      <c r="G17" s="31">
        <f>+'Summary Medians'!$J$76</f>
        <v>0</v>
      </c>
      <c r="H17" s="52">
        <f>+'Summary Medians'!$J$77</f>
        <v>3375</v>
      </c>
    </row>
    <row r="18" spans="1:8" ht="12.75" customHeight="1">
      <c r="A18" s="3" t="s">
        <v>423</v>
      </c>
      <c r="B18" s="31">
        <f>+'Summary Medians'!$J$88</f>
        <v>5652</v>
      </c>
      <c r="C18" s="31">
        <f>+'Summary Medians'!$J$89</f>
        <v>5472</v>
      </c>
      <c r="D18" s="31">
        <f>+'Summary Medians'!$J$90</f>
        <v>4186</v>
      </c>
      <c r="E18" s="31">
        <f>+'Summary Medians'!$J$91</f>
        <v>4900</v>
      </c>
      <c r="F18" s="31">
        <f>+'Summary Medians'!$J$92</f>
        <v>4002</v>
      </c>
      <c r="G18" s="31">
        <f>+'Summary Medians'!$J$93</f>
        <v>0</v>
      </c>
      <c r="H18" s="52">
        <f>+'Summary Medians'!$J$94</f>
        <v>4608</v>
      </c>
    </row>
    <row r="19" spans="1:8" ht="12.75" customHeight="1">
      <c r="A19" s="3" t="s">
        <v>424</v>
      </c>
      <c r="B19" s="31">
        <f>+'Summary Medians'!$J$105</f>
        <v>4187</v>
      </c>
      <c r="C19" s="31">
        <f>+'Summary Medians'!$J$106</f>
        <v>3358.5</v>
      </c>
      <c r="D19" s="31">
        <f>+'Summary Medians'!$J$107</f>
        <v>3069</v>
      </c>
      <c r="E19" s="31">
        <f>+'Summary Medians'!$J$108</f>
        <v>2892</v>
      </c>
      <c r="F19" s="31">
        <f>+'Summary Medians'!$J$109</f>
        <v>3332.5</v>
      </c>
      <c r="G19" s="31">
        <f>+'Summary Medians'!$J$110</f>
        <v>0</v>
      </c>
      <c r="H19" s="52">
        <f>+'Summary Medians'!$J$111</f>
        <v>3075</v>
      </c>
    </row>
    <row r="20" spans="1:8" ht="12.75" customHeight="1">
      <c r="A20" s="7" t="s">
        <v>425</v>
      </c>
      <c r="B20" s="31">
        <f>+'Summary Medians'!$J$122</f>
        <v>9781</v>
      </c>
      <c r="C20" s="31">
        <f>+'Summary Medians'!$J$123</f>
        <v>10800</v>
      </c>
      <c r="D20" s="31">
        <f>+'Summary Medians'!$J$124</f>
        <v>7848</v>
      </c>
      <c r="E20" s="31">
        <f>+'Summary Medians'!$J$125</f>
        <v>6636</v>
      </c>
      <c r="F20" s="31">
        <f>+'Summary Medians'!$J$126</f>
        <v>4464</v>
      </c>
      <c r="G20" s="31">
        <f>+'Summary Medians'!$J$127</f>
        <v>0</v>
      </c>
      <c r="H20" s="52">
        <f>+'Summary Medians'!$J$128</f>
        <v>6780</v>
      </c>
    </row>
    <row r="21" spans="1:8" ht="9" customHeight="1">
      <c r="A21" s="7"/>
      <c r="B21" s="31"/>
      <c r="C21" s="31"/>
      <c r="D21" s="31"/>
      <c r="E21" s="31"/>
      <c r="F21" s="31"/>
      <c r="G21" s="31"/>
      <c r="H21" s="52"/>
    </row>
    <row r="22" spans="1:8" ht="12.75" customHeight="1">
      <c r="A22" s="3" t="s">
        <v>426</v>
      </c>
      <c r="B22" s="31">
        <f>+'Summary Medians'!$J$139</f>
        <v>4105</v>
      </c>
      <c r="C22" s="31">
        <f>+'Summary Medians'!$J$140</f>
        <v>4107.5</v>
      </c>
      <c r="D22" s="31">
        <f>+'Summary Medians'!$J$141</f>
        <v>3841</v>
      </c>
      <c r="E22" s="31">
        <f>+'Summary Medians'!$J$142</f>
        <v>3523.5</v>
      </c>
      <c r="F22" s="31">
        <f>+'Summary Medians'!$J$143</f>
        <v>3714</v>
      </c>
      <c r="G22" s="31">
        <f>+'Summary Medians'!$J$144</f>
        <v>0</v>
      </c>
      <c r="H22" s="52">
        <f>+'Summary Medians'!$J$145</f>
        <v>3887</v>
      </c>
    </row>
    <row r="23" spans="1:8" ht="12.75" customHeight="1">
      <c r="A23" s="3" t="s">
        <v>427</v>
      </c>
      <c r="B23" s="31">
        <f>+'Summary Medians'!$J$156</f>
        <v>4576</v>
      </c>
      <c r="C23" s="31">
        <f>+'Summary Medians'!$J$157</f>
        <v>3519</v>
      </c>
      <c r="D23" s="31">
        <f>+'Summary Medians'!$J$158</f>
        <v>3345</v>
      </c>
      <c r="E23" s="31">
        <f>+'Summary Medians'!$J$159</f>
        <v>2593</v>
      </c>
      <c r="F23" s="31">
        <f>+'Summary Medians'!$J$160</f>
        <v>2613</v>
      </c>
      <c r="G23" s="31">
        <f>+'Summary Medians'!$J$161</f>
        <v>2734</v>
      </c>
      <c r="H23" s="52">
        <f>+'Summary Medians'!$J$162</f>
        <v>3345</v>
      </c>
    </row>
    <row r="24" spans="1:8" ht="12.75" customHeight="1">
      <c r="A24" s="3" t="s">
        <v>428</v>
      </c>
      <c r="B24" s="31">
        <f>+'Summary Medians'!$J$173</f>
        <v>3996</v>
      </c>
      <c r="C24" s="31">
        <f>+'Summary Medians'!$J$174</f>
        <v>0</v>
      </c>
      <c r="D24" s="31">
        <f>+'Summary Medians'!$J$175</f>
        <v>3072</v>
      </c>
      <c r="E24" s="31">
        <f>+'Summary Medians'!$J$176</f>
        <v>2928</v>
      </c>
      <c r="F24" s="31">
        <f>+'Summary Medians'!$J$177</f>
        <v>2928</v>
      </c>
      <c r="G24" s="31">
        <f>+'Summary Medians'!$J$178</f>
        <v>2976</v>
      </c>
      <c r="H24" s="52">
        <f>+'Summary Medians'!$J$179</f>
        <v>2988</v>
      </c>
    </row>
    <row r="25" spans="1:8" ht="12.75" customHeight="1">
      <c r="A25" s="3" t="s">
        <v>429</v>
      </c>
      <c r="B25" s="31">
        <f>+'Summary Medians'!$J$190</f>
        <v>7663</v>
      </c>
      <c r="C25" s="31">
        <f>+'Summary Medians'!$J$191</f>
        <v>7528</v>
      </c>
      <c r="D25" s="31">
        <f>+'Summary Medians'!$J$192</f>
        <v>5701</v>
      </c>
      <c r="E25" s="31">
        <f>+'Summary Medians'!$J$193</f>
        <v>5701</v>
      </c>
      <c r="F25" s="31">
        <f>+'Summary Medians'!$J$194</f>
        <v>6170</v>
      </c>
      <c r="G25" s="31">
        <f>+'Summary Medians'!$J$195</f>
        <v>7150</v>
      </c>
      <c r="H25" s="52">
        <f>+'Summary Medians'!$J$196</f>
        <v>6418</v>
      </c>
    </row>
    <row r="26" spans="1:8" ht="9" customHeight="1">
      <c r="A26" s="3"/>
      <c r="H26" s="53"/>
    </row>
    <row r="27" spans="1:8" ht="12.75" customHeight="1">
      <c r="A27" s="3" t="s">
        <v>430</v>
      </c>
      <c r="B27" s="31">
        <f>+'Summary Medians'!$J$207</f>
        <v>5377</v>
      </c>
      <c r="C27" s="31">
        <f>+'Summary Medians'!$J$208</f>
        <v>5432</v>
      </c>
      <c r="D27" s="31">
        <f>+'Summary Medians'!$J$209</f>
        <v>5181.5</v>
      </c>
      <c r="E27" s="31">
        <f>+'Summary Medians'!$J$210</f>
        <v>5245</v>
      </c>
      <c r="F27" s="31">
        <f>+'Summary Medians'!$J$211</f>
        <v>4788</v>
      </c>
      <c r="G27" s="31">
        <f>+'Summary Medians'!$J$212</f>
        <v>0</v>
      </c>
      <c r="H27" s="52">
        <f>+'Summary Medians'!$J$213</f>
        <v>5207</v>
      </c>
    </row>
    <row r="28" spans="1:8" ht="12.75" customHeight="1">
      <c r="A28" s="3" t="s">
        <v>431</v>
      </c>
      <c r="B28" s="31">
        <f>+'Summary Medians'!$J$224</f>
        <v>6205.2</v>
      </c>
      <c r="C28" s="31">
        <f>+'Summary Medians'!$J$225</f>
        <v>5104.8</v>
      </c>
      <c r="D28" s="31">
        <f>+'Summary Medians'!$J$226</f>
        <v>3993.6</v>
      </c>
      <c r="E28" s="31">
        <f>+'Summary Medians'!$J$227</f>
        <v>3058.2</v>
      </c>
      <c r="F28" s="31">
        <f>+'Summary Medians'!$J$228</f>
        <v>3962.4</v>
      </c>
      <c r="G28" s="31">
        <f>+'Summary Medians'!$J$229</f>
        <v>3945.6</v>
      </c>
      <c r="H28" s="52">
        <f>+'Summary Medians'!$J$230</f>
        <v>4024.8</v>
      </c>
    </row>
    <row r="29" spans="1:8" ht="12.75" customHeight="1">
      <c r="A29" s="3" t="s">
        <v>432</v>
      </c>
      <c r="B29" s="31">
        <f>+'Summary Medians'!$J$241</f>
        <v>8356</v>
      </c>
      <c r="C29" s="31">
        <f>+'Summary Medians'!$J$242</f>
        <v>6827</v>
      </c>
      <c r="D29" s="31">
        <f>+'Summary Medians'!$J$243</f>
        <v>5422</v>
      </c>
      <c r="E29" s="31">
        <f>+'Summary Medians'!$J$244</f>
        <v>6184.5</v>
      </c>
      <c r="F29" s="31">
        <f>+'Summary Medians'!$J$245</f>
        <v>8305</v>
      </c>
      <c r="G29" s="31">
        <f>+'Summary Medians'!$J$246</f>
        <v>4158</v>
      </c>
      <c r="H29" s="52">
        <f>+'Summary Medians'!$J$247</f>
        <v>6533.5</v>
      </c>
    </row>
    <row r="30" spans="1:8" ht="12.75" customHeight="1">
      <c r="A30" s="10" t="s">
        <v>433</v>
      </c>
      <c r="B30" s="36">
        <f>+'Summary Medians'!$J$258</f>
        <v>4274</v>
      </c>
      <c r="C30" s="36">
        <f>+'Summary Medians'!$J$259</f>
        <v>0</v>
      </c>
      <c r="D30" s="36">
        <f>+'Summary Medians'!$J$260</f>
        <v>4040</v>
      </c>
      <c r="E30" s="36">
        <f>+'Summary Medians'!$J$261</f>
        <v>0</v>
      </c>
      <c r="F30" s="36">
        <f>+'Summary Medians'!$J$262</f>
        <v>0</v>
      </c>
      <c r="G30" s="36">
        <f>+'Summary Medians'!$J$263</f>
        <v>4010</v>
      </c>
      <c r="H30" s="54">
        <f>+'Summary Medians'!$J$264</f>
        <v>4084</v>
      </c>
    </row>
    <row r="31" spans="2:7" ht="9" customHeight="1">
      <c r="B31" s="15"/>
      <c r="C31" s="15"/>
      <c r="D31" s="15"/>
      <c r="E31" s="15"/>
      <c r="F31" s="15"/>
      <c r="G31" s="15"/>
    </row>
    <row r="32" spans="1:8" ht="33.75" customHeight="1">
      <c r="A32" s="371" t="s">
        <v>1123</v>
      </c>
      <c r="B32" s="375"/>
      <c r="C32" s="375"/>
      <c r="D32" s="375"/>
      <c r="E32" s="375"/>
      <c r="F32" s="375"/>
      <c r="G32" s="375"/>
      <c r="H32" s="375"/>
    </row>
    <row r="33" s="69" customFormat="1" ht="15" customHeight="1">
      <c r="H33" s="377" t="s">
        <v>37</v>
      </c>
    </row>
    <row r="34" s="69" customFormat="1" ht="15.75"/>
    <row r="35" s="69" customFormat="1" ht="15.75"/>
    <row r="36" s="69" customFormat="1" ht="15.75"/>
    <row r="37" s="69" customFormat="1" ht="15.75"/>
    <row r="38" s="69" customFormat="1" ht="15.75"/>
    <row r="39" s="69" customFormat="1" ht="15.75"/>
    <row r="40" s="69" customFormat="1" ht="15.75"/>
    <row r="41" s="69" customFormat="1" ht="15.75"/>
    <row r="42" s="69" customFormat="1" ht="15.75"/>
    <row r="43" s="69" customFormat="1" ht="15.75"/>
    <row r="44" s="69" customFormat="1" ht="15.75"/>
    <row r="45" s="69" customFormat="1" ht="15.75"/>
    <row r="46" s="69" customFormat="1" ht="15.75"/>
    <row r="47" s="69" customFormat="1" ht="15.75"/>
    <row r="48" s="69" customFormat="1" ht="15.75"/>
    <row r="49" s="69" customFormat="1" ht="15.75"/>
    <row r="50" s="69" customFormat="1" ht="15.75"/>
    <row r="51" s="69" customFormat="1" ht="15.75"/>
    <row r="52" s="69" customFormat="1" ht="15.75"/>
    <row r="53" s="69" customFormat="1" ht="15.75"/>
    <row r="54" s="69" customFormat="1" ht="15.75"/>
    <row r="55" s="69" customFormat="1" ht="15.75"/>
    <row r="56" s="69" customFormat="1" ht="15.75"/>
    <row r="57" s="69" customFormat="1" ht="15.75"/>
    <row r="58" s="69" customFormat="1" ht="15.75"/>
    <row r="59" s="69" customFormat="1" ht="15.75"/>
    <row r="60" s="69" customFormat="1" ht="15.75"/>
    <row r="61" s="69" customFormat="1" ht="15.75"/>
    <row r="62" s="69" customFormat="1" ht="15.75"/>
    <row r="63" s="69" customFormat="1" ht="15.75"/>
    <row r="64" s="69" customFormat="1" ht="15.75"/>
    <row r="65" s="69" customFormat="1" ht="15.75"/>
    <row r="66" s="69" customFormat="1" ht="15.75"/>
    <row r="67" s="69" customFormat="1" ht="15.75"/>
    <row r="68" s="69" customFormat="1" ht="15.75"/>
    <row r="69" s="69" customFormat="1" ht="15.75"/>
    <row r="70" s="69" customFormat="1" ht="15.75"/>
    <row r="71" s="69" customFormat="1" ht="15.75"/>
    <row r="72" s="69" customFormat="1" ht="15.75"/>
    <row r="73" s="69" customFormat="1" ht="15.75"/>
    <row r="74" s="69" customFormat="1" ht="15.75"/>
    <row r="75" s="69" customFormat="1" ht="15.75"/>
    <row r="76" s="69" customFormat="1" ht="15.75"/>
    <row r="77" s="69" customFormat="1" ht="15.75"/>
    <row r="78" s="69" customFormat="1" ht="15.75"/>
    <row r="79" s="69" customFormat="1" ht="15.75"/>
    <row r="80" s="69" customFormat="1" ht="15.75"/>
    <row r="81" s="69" customFormat="1" ht="15.75"/>
    <row r="82" s="69" customFormat="1" ht="15.75"/>
    <row r="83" s="69" customFormat="1" ht="15.75"/>
    <row r="84" s="69" customFormat="1" ht="15.75"/>
    <row r="85" s="69" customFormat="1" ht="15.75"/>
    <row r="86" s="69" customFormat="1" ht="15.75"/>
    <row r="87" s="69" customFormat="1" ht="15.75"/>
    <row r="88" s="69" customFormat="1" ht="15.75"/>
    <row r="89" s="69" customFormat="1" ht="15.75"/>
    <row r="90" s="69" customFormat="1" ht="15.75"/>
    <row r="91" s="69" customFormat="1" ht="15.75"/>
    <row r="92" s="69" customFormat="1" ht="15.75"/>
    <row r="93" s="69" customFormat="1" ht="15.75"/>
    <row r="94" s="69" customFormat="1" ht="15.75"/>
    <row r="95" s="69" customFormat="1" ht="15.75"/>
    <row r="96" s="69" customFormat="1" ht="15.75"/>
    <row r="97" s="69" customFormat="1" ht="15.75"/>
    <row r="98" s="69" customFormat="1" ht="15.75"/>
    <row r="99" s="69" customFormat="1" ht="15.75"/>
    <row r="100" s="69" customFormat="1" ht="15.75"/>
    <row r="101" s="69" customFormat="1" ht="15.75"/>
    <row r="102" s="69" customFormat="1" ht="15.75"/>
    <row r="103" s="69" customFormat="1" ht="15.75"/>
    <row r="104" s="69" customFormat="1" ht="15.75"/>
    <row r="105" s="69" customFormat="1" ht="15.75"/>
    <row r="106" s="69" customFormat="1" ht="15.75"/>
    <row r="107" s="69" customFormat="1" ht="15.75"/>
    <row r="108" s="69" customFormat="1" ht="15.75"/>
    <row r="109" s="69" customFormat="1" ht="15.75"/>
    <row r="110" s="69" customFormat="1" ht="15.75"/>
    <row r="111" s="69" customFormat="1" ht="15.75"/>
    <row r="112" s="69" customFormat="1" ht="15.75"/>
    <row r="113" s="69" customFormat="1" ht="15.75"/>
    <row r="114" s="69" customFormat="1" ht="15.75"/>
    <row r="115" s="69" customFormat="1" ht="15.75"/>
    <row r="116" s="69" customFormat="1" ht="15.75"/>
    <row r="117" s="69" customFormat="1" ht="15.75"/>
    <row r="118" s="69" customFormat="1" ht="15.75"/>
    <row r="119" s="69" customFormat="1" ht="15.75"/>
    <row r="120" s="69" customFormat="1" ht="15.75"/>
    <row r="121" s="69" customFormat="1" ht="15.75"/>
    <row r="122" s="69" customFormat="1" ht="15.75"/>
    <row r="123" s="69" customFormat="1" ht="15.75"/>
    <row r="124" s="69" customFormat="1" ht="15.75"/>
    <row r="125" s="69" customFormat="1" ht="15.75"/>
    <row r="126" s="69" customFormat="1" ht="15.75"/>
    <row r="127" s="69" customFormat="1" ht="15.75"/>
    <row r="128" s="69" customFormat="1" ht="15.75"/>
    <row r="129" s="69" customFormat="1" ht="15.75"/>
    <row r="130" s="69" customFormat="1" ht="15.75"/>
    <row r="131" s="69" customFormat="1" ht="15.75"/>
    <row r="132" s="69" customFormat="1" ht="15.75"/>
    <row r="133" s="69" customFormat="1" ht="15.75"/>
    <row r="134" s="69" customFormat="1" ht="15.75"/>
    <row r="135" s="69" customFormat="1" ht="15.75"/>
    <row r="136" s="69" customFormat="1" ht="15.75"/>
    <row r="137" s="69" customFormat="1" ht="15.75"/>
    <row r="138" s="69" customFormat="1" ht="15.75"/>
    <row r="139" s="69" customFormat="1" ht="15.75"/>
    <row r="140" s="69" customFormat="1" ht="15.75"/>
    <row r="141" s="69" customFormat="1" ht="15.75"/>
    <row r="142" s="69" customFormat="1" ht="15.75"/>
    <row r="143" s="69" customFormat="1" ht="15.75"/>
    <row r="144" s="69" customFormat="1" ht="15.75"/>
    <row r="145" s="69" customFormat="1" ht="15.75"/>
    <row r="146" s="69" customFormat="1" ht="15.75"/>
    <row r="147" s="69" customFormat="1" ht="15.75"/>
    <row r="148" s="69" customFormat="1" ht="15.75"/>
    <row r="149" s="69" customFormat="1" ht="15.75"/>
    <row r="150" s="69" customFormat="1" ht="15.75"/>
    <row r="151" s="69" customFormat="1" ht="15.75"/>
    <row r="152" s="69" customFormat="1" ht="15.75"/>
    <row r="153" s="69" customFormat="1" ht="15.75"/>
    <row r="154" s="69" customFormat="1" ht="15.75"/>
    <row r="155" s="69" customFormat="1" ht="15.75"/>
    <row r="156" s="69" customFormat="1" ht="15.75"/>
    <row r="157" s="69" customFormat="1" ht="15.75"/>
    <row r="158" s="69" customFormat="1" ht="15.75"/>
    <row r="159" s="69" customFormat="1" ht="15.75"/>
    <row r="160" s="69" customFormat="1" ht="15.75"/>
    <row r="161" s="69" customFormat="1" ht="15.75"/>
    <row r="162" s="69" customFormat="1" ht="15.75"/>
    <row r="163" s="69" customFormat="1" ht="15.75"/>
    <row r="164" s="69" customFormat="1" ht="15.75"/>
    <row r="165" s="69" customFormat="1" ht="15.75"/>
    <row r="166" s="69" customFormat="1" ht="15.75"/>
    <row r="167" s="69" customFormat="1" ht="15.75"/>
    <row r="168" s="69" customFormat="1" ht="15.75"/>
    <row r="169" s="69" customFormat="1" ht="15.75"/>
    <row r="170" s="69" customFormat="1" ht="15.75"/>
    <row r="171" s="69" customFormat="1" ht="15.75"/>
    <row r="172" s="69" customFormat="1" ht="15.75"/>
    <row r="173" s="69" customFormat="1" ht="15.75"/>
    <row r="174" s="69" customFormat="1" ht="15.75"/>
    <row r="175" s="69" customFormat="1" ht="15.75"/>
    <row r="176" s="69" customFormat="1" ht="15.75"/>
    <row r="177" s="69" customFormat="1" ht="15.75"/>
    <row r="178" s="69" customFormat="1" ht="15.75"/>
    <row r="179" s="69" customFormat="1" ht="15.75"/>
    <row r="180" s="69" customFormat="1" ht="15.75"/>
    <row r="181" s="69" customFormat="1" ht="15.75"/>
    <row r="182" s="69" customFormat="1" ht="15.75"/>
    <row r="183" s="69" customFormat="1" ht="15.75"/>
    <row r="184" s="69" customFormat="1" ht="15.75"/>
    <row r="185" s="69" customFormat="1" ht="15.75"/>
    <row r="186" s="69" customFormat="1" ht="15.75"/>
    <row r="187" s="69" customFormat="1" ht="15.75"/>
    <row r="188" s="69" customFormat="1" ht="15.75"/>
    <row r="189" s="69" customFormat="1" ht="15.75"/>
    <row r="190" s="69" customFormat="1" ht="15.75"/>
    <row r="191" s="69" customFormat="1" ht="15.75"/>
    <row r="192" s="69" customFormat="1" ht="15.75"/>
    <row r="193" s="69" customFormat="1" ht="15.75"/>
    <row r="194" s="69" customFormat="1" ht="15.75"/>
    <row r="195" s="69" customFormat="1" ht="15.75"/>
    <row r="196" s="69" customFormat="1" ht="15.75"/>
    <row r="197" s="69" customFormat="1" ht="15.75"/>
    <row r="198" s="69" customFormat="1" ht="15.75"/>
    <row r="199" s="69" customFormat="1" ht="15.75"/>
    <row r="200" s="69" customFormat="1" ht="15.75"/>
    <row r="201" s="69" customFormat="1" ht="15.75"/>
    <row r="202" s="69" customFormat="1" ht="15.75"/>
    <row r="203" s="69" customFormat="1" ht="15.75"/>
    <row r="204" s="69" customFormat="1" ht="15.75"/>
    <row r="205" s="69" customFormat="1" ht="15.75"/>
    <row r="206" s="69" customFormat="1" ht="15.75"/>
    <row r="207" s="69" customFormat="1" ht="15.75"/>
    <row r="208" s="69" customFormat="1" ht="15.75"/>
    <row r="209" s="69" customFormat="1" ht="15.75"/>
    <row r="210" s="69" customFormat="1" ht="15.75"/>
    <row r="211" s="69" customFormat="1" ht="15.75"/>
    <row r="212" s="69" customFormat="1" ht="15.75"/>
    <row r="213" s="69" customFormat="1" ht="15.75"/>
    <row r="214" s="69" customFormat="1" ht="15.75"/>
    <row r="215" s="69" customFormat="1" ht="15.75"/>
    <row r="216" s="69" customFormat="1" ht="15.75"/>
    <row r="217" s="69" customFormat="1" ht="15.75"/>
    <row r="218" s="69" customFormat="1" ht="15.75"/>
    <row r="219" s="69" customFormat="1" ht="15.75"/>
    <row r="220" s="69" customFormat="1" ht="15.75"/>
    <row r="221" s="69" customFormat="1" ht="15.75"/>
    <row r="222" s="69" customFormat="1" ht="15.75"/>
    <row r="223" s="69" customFormat="1" ht="15.75"/>
    <row r="224" s="69" customFormat="1" ht="15.75"/>
    <row r="225" s="69" customFormat="1" ht="15.75"/>
    <row r="226" s="69" customFormat="1" ht="15.75"/>
    <row r="227" s="69" customFormat="1" ht="15.75"/>
    <row r="228" s="69" customFormat="1" ht="15.75"/>
    <row r="229" s="69" customFormat="1" ht="15.75"/>
    <row r="230" s="69" customFormat="1" ht="15.75"/>
    <row r="231" s="69" customFormat="1" ht="15.75"/>
    <row r="232" s="69" customFormat="1" ht="15.75"/>
    <row r="233" s="69" customFormat="1" ht="15.75"/>
    <row r="234" s="69" customFormat="1" ht="15.75"/>
    <row r="235" s="69" customFormat="1" ht="15.75"/>
    <row r="236" s="69" customFormat="1" ht="15.75"/>
    <row r="237" s="69" customFormat="1" ht="15.75"/>
    <row r="238" s="69" customFormat="1" ht="15.75"/>
    <row r="239" s="69" customFormat="1" ht="15.75"/>
    <row r="240" s="69" customFormat="1" ht="15.75"/>
    <row r="241" s="69" customFormat="1" ht="15.75"/>
    <row r="242" s="69" customFormat="1" ht="15.75"/>
    <row r="243" s="69" customFormat="1" ht="15.75"/>
    <row r="244" s="69" customFormat="1" ht="15.75"/>
    <row r="245" s="69" customFormat="1" ht="15.75"/>
    <row r="246" s="69" customFormat="1" ht="15.75"/>
    <row r="247" s="69" customFormat="1" ht="15.75"/>
    <row r="248" s="69" customFormat="1" ht="15.75"/>
    <row r="249" s="69" customFormat="1" ht="15.75"/>
    <row r="250" s="69" customFormat="1" ht="15.75"/>
    <row r="251" s="69" customFormat="1" ht="15.75"/>
    <row r="252" s="69" customFormat="1" ht="15.75"/>
    <row r="253" s="69" customFormat="1" ht="15.75"/>
    <row r="254" s="69" customFormat="1" ht="15.75"/>
    <row r="255" s="69" customFormat="1" ht="15.75"/>
    <row r="256" s="69" customFormat="1" ht="15.75"/>
    <row r="257" s="69" customFormat="1" ht="15.75"/>
    <row r="258" s="69" customFormat="1" ht="15.75"/>
    <row r="259" s="69" customFormat="1" ht="15.75"/>
    <row r="260" s="69" customFormat="1" ht="15.75"/>
    <row r="261" s="69" customFormat="1" ht="15.75"/>
    <row r="262" s="69" customFormat="1" ht="15.75"/>
    <row r="263" s="69" customFormat="1" ht="15.75"/>
    <row r="264" s="69" customFormat="1" ht="15.75"/>
    <row r="265" s="69" customFormat="1" ht="15.75"/>
    <row r="266" s="69" customFormat="1" ht="15.75"/>
    <row r="267" s="69" customFormat="1" ht="15.75"/>
    <row r="268" s="69" customFormat="1" ht="15.75"/>
    <row r="269" s="69" customFormat="1" ht="15.75"/>
    <row r="270" s="69" customFormat="1" ht="15.75"/>
    <row r="271" s="69" customFormat="1" ht="15.75"/>
    <row r="272" s="69" customFormat="1" ht="15.75"/>
    <row r="273" s="69" customFormat="1" ht="15.75"/>
    <row r="274" s="69" customFormat="1" ht="15.75"/>
    <row r="275" s="69" customFormat="1" ht="15.75"/>
    <row r="276" s="69" customFormat="1" ht="15.75"/>
    <row r="277" s="69" customFormat="1" ht="15.75"/>
    <row r="278" s="69" customFormat="1" ht="15.75"/>
    <row r="279" s="69" customFormat="1" ht="15.75"/>
    <row r="280" s="69" customFormat="1" ht="15.75"/>
    <row r="281" s="69" customFormat="1" ht="15.75"/>
    <row r="282" s="69" customFormat="1" ht="15.75"/>
    <row r="283" s="69" customFormat="1" ht="15.75"/>
    <row r="284" s="69" customFormat="1" ht="15.75"/>
    <row r="285" s="69" customFormat="1" ht="15.75"/>
    <row r="286" s="69" customFormat="1" ht="15.75"/>
    <row r="287" s="69" customFormat="1" ht="15.75"/>
    <row r="288" s="69" customFormat="1" ht="15.75"/>
    <row r="289" s="69" customFormat="1" ht="15.75"/>
    <row r="290" s="69" customFormat="1" ht="15.75"/>
    <row r="291" s="69" customFormat="1" ht="15.75"/>
    <row r="292" s="69" customFormat="1" ht="15.75"/>
    <row r="293" s="69" customFormat="1" ht="15.75"/>
    <row r="294" s="69" customFormat="1" ht="15.75"/>
    <row r="295" s="69" customFormat="1" ht="15.75"/>
    <row r="296" s="69" customFormat="1" ht="15.75"/>
    <row r="297" s="69" customFormat="1" ht="15.75"/>
    <row r="298" s="69" customFormat="1" ht="15.75"/>
    <row r="299" s="69" customFormat="1" ht="15.75"/>
    <row r="300" s="69" customFormat="1" ht="15.75"/>
    <row r="301" s="69" customFormat="1" ht="15.75"/>
    <row r="302" s="69" customFormat="1" ht="15.75"/>
    <row r="303" s="69" customFormat="1" ht="15.75"/>
    <row r="304" s="69" customFormat="1" ht="15.75"/>
    <row r="305" s="69" customFormat="1" ht="15.75"/>
    <row r="306" s="69" customFormat="1" ht="15.75"/>
    <row r="307" s="69" customFormat="1" ht="15.75"/>
    <row r="308" s="69" customFormat="1" ht="15.75"/>
    <row r="309" s="69" customFormat="1" ht="15.75"/>
    <row r="310" s="69" customFormat="1" ht="15.75"/>
    <row r="311" s="69" customFormat="1" ht="15.75"/>
    <row r="312" s="69" customFormat="1" ht="15.75"/>
    <row r="313" s="69" customFormat="1" ht="15.75"/>
    <row r="314" s="69" customFormat="1" ht="15.75"/>
    <row r="315" s="69" customFormat="1" ht="15.75"/>
    <row r="316" s="69" customFormat="1" ht="15.75"/>
    <row r="317" s="69" customFormat="1" ht="15.75"/>
    <row r="318" s="69" customFormat="1" ht="15.75"/>
    <row r="319" s="69" customFormat="1" ht="15.75"/>
    <row r="320" s="69" customFormat="1" ht="15.75"/>
    <row r="321" s="69" customFormat="1" ht="15.75"/>
    <row r="322" s="69" customFormat="1" ht="15.75"/>
    <row r="323" s="69" customFormat="1" ht="15.75"/>
    <row r="324" s="69" customFormat="1" ht="15.75"/>
    <row r="325" s="69" customFormat="1" ht="15.75"/>
    <row r="326" s="69" customFormat="1" ht="15.75"/>
    <row r="327" s="69" customFormat="1" ht="15.75"/>
    <row r="328" s="69" customFormat="1" ht="15.75"/>
    <row r="329" s="69" customFormat="1" ht="15.75"/>
    <row r="330" s="69" customFormat="1" ht="15.75"/>
    <row r="331" s="69" customFormat="1" ht="15.75"/>
    <row r="332" s="69" customFormat="1" ht="15.75"/>
    <row r="333" s="69" customFormat="1" ht="15.75"/>
    <row r="334" s="69" customFormat="1" ht="15.75"/>
    <row r="335" s="69" customFormat="1" ht="15.75"/>
    <row r="336" s="69" customFormat="1" ht="15.75"/>
    <row r="337" s="69" customFormat="1" ht="15.75"/>
    <row r="338" s="69" customFormat="1" ht="15.75"/>
    <row r="339" s="69" customFormat="1" ht="15.75"/>
    <row r="340" s="69" customFormat="1" ht="15.75"/>
    <row r="341" s="69" customFormat="1" ht="15.75"/>
    <row r="342" s="69" customFormat="1" ht="15.75"/>
    <row r="343" s="69" customFormat="1" ht="15.75"/>
    <row r="344" s="69" customFormat="1" ht="15.75"/>
    <row r="345" s="69" customFormat="1" ht="15.75"/>
    <row r="346" s="69" customFormat="1" ht="15.75"/>
    <row r="347" s="69" customFormat="1" ht="15.75"/>
    <row r="348" s="69" customFormat="1" ht="15.75"/>
    <row r="349" s="69" customFormat="1" ht="15.75"/>
    <row r="350" s="69" customFormat="1" ht="15.75"/>
    <row r="351" s="69" customFormat="1" ht="15.75"/>
    <row r="352" s="69" customFormat="1" ht="15.75"/>
    <row r="353" s="69" customFormat="1" ht="15.75"/>
    <row r="354" s="69" customFormat="1" ht="15.75"/>
    <row r="355" s="69" customFormat="1" ht="15.75"/>
    <row r="356" s="69" customFormat="1" ht="15.75"/>
    <row r="357" s="69" customFormat="1" ht="15.75"/>
    <row r="358" s="69" customFormat="1" ht="15.75"/>
    <row r="359" s="69" customFormat="1" ht="15.75"/>
    <row r="360" s="69" customFormat="1" ht="15.75"/>
    <row r="361" s="69" customFormat="1" ht="15.75"/>
    <row r="362" s="69" customFormat="1" ht="15.75"/>
    <row r="363" s="69" customFormat="1" ht="15.75"/>
    <row r="364" s="69" customFormat="1" ht="15.75"/>
    <row r="365" s="69" customFormat="1" ht="15.75"/>
    <row r="366" s="69" customFormat="1" ht="15.75"/>
    <row r="367" s="69" customFormat="1" ht="15.75"/>
    <row r="368" s="69" customFormat="1" ht="15.75"/>
    <row r="369" s="69" customFormat="1" ht="15.75"/>
    <row r="370" s="69" customFormat="1" ht="15.75"/>
    <row r="371" s="69" customFormat="1" ht="15.75"/>
    <row r="372" s="69" customFormat="1" ht="15.75"/>
    <row r="373" s="69" customFormat="1" ht="15.75"/>
    <row r="374" s="69" customFormat="1" ht="15.75"/>
    <row r="375" s="69" customFormat="1" ht="15.75"/>
    <row r="376" s="69" customFormat="1" ht="15.75"/>
    <row r="377" s="69" customFormat="1" ht="15.75"/>
    <row r="378" s="69" customFormat="1" ht="15.75"/>
    <row r="379" s="69" customFormat="1" ht="15.75"/>
    <row r="380" s="69" customFormat="1" ht="15.75"/>
    <row r="381" s="69" customFormat="1" ht="15.75"/>
    <row r="382" s="69" customFormat="1" ht="15.75"/>
    <row r="383" s="69" customFormat="1" ht="15.75"/>
    <row r="384" s="69" customFormat="1" ht="15.75"/>
    <row r="385" s="69" customFormat="1" ht="15.75"/>
    <row r="386" s="69" customFormat="1" ht="15.75"/>
    <row r="387" s="69" customFormat="1" ht="15.75"/>
    <row r="388" s="69" customFormat="1" ht="15.75"/>
    <row r="389" s="69" customFormat="1" ht="15.75"/>
    <row r="390" s="69" customFormat="1" ht="15.75"/>
    <row r="391" s="69" customFormat="1" ht="15.75"/>
    <row r="392" s="69" customFormat="1" ht="15.75"/>
    <row r="393" s="69" customFormat="1" ht="15.75"/>
    <row r="394" s="69" customFormat="1" ht="15.75"/>
    <row r="395" s="69" customFormat="1" ht="15.75"/>
    <row r="396" s="69" customFormat="1" ht="15.75"/>
    <row r="397" s="69" customFormat="1" ht="15.75"/>
    <row r="398" s="69" customFormat="1" ht="15.75"/>
    <row r="399" s="69" customFormat="1" ht="15.75"/>
    <row r="400" s="69" customFormat="1" ht="15.75"/>
    <row r="401" s="69" customFormat="1" ht="15.75"/>
    <row r="402" s="69" customFormat="1" ht="15.75"/>
    <row r="403" s="69" customFormat="1" ht="15.75"/>
    <row r="404" s="69" customFormat="1" ht="15.75"/>
    <row r="405" s="69" customFormat="1" ht="15.75"/>
    <row r="406" s="69" customFormat="1" ht="15.75"/>
    <row r="407" s="69" customFormat="1" ht="15.75"/>
    <row r="408" s="69" customFormat="1" ht="15.75"/>
    <row r="409" s="69" customFormat="1" ht="15.75"/>
    <row r="410" s="69" customFormat="1" ht="15.75"/>
    <row r="411" s="69" customFormat="1" ht="15.75"/>
    <row r="412" s="69" customFormat="1" ht="15.75"/>
    <row r="413" s="69" customFormat="1" ht="15.75"/>
    <row r="414" s="69" customFormat="1" ht="15.75"/>
    <row r="415" s="69" customFormat="1" ht="15.75"/>
    <row r="416" s="69" customFormat="1" ht="15.75"/>
    <row r="417" s="69" customFormat="1" ht="15.75"/>
    <row r="418" s="69" customFormat="1" ht="15.75"/>
    <row r="419" s="69" customFormat="1" ht="15.75"/>
    <row r="420" s="69" customFormat="1" ht="15.75"/>
    <row r="421" s="69" customFormat="1" ht="15.75"/>
    <row r="422" s="69" customFormat="1" ht="15.75"/>
    <row r="423" s="69" customFormat="1" ht="15.75"/>
    <row r="424" s="69" customFormat="1" ht="15.75"/>
    <row r="425" s="69" customFormat="1" ht="15.75"/>
    <row r="426" s="69" customFormat="1" ht="15.75"/>
    <row r="427" s="69" customFormat="1" ht="15.75"/>
    <row r="428" s="69" customFormat="1" ht="15.75"/>
    <row r="429" s="69" customFormat="1" ht="15.75"/>
    <row r="430" s="69" customFormat="1" ht="15.75"/>
    <row r="431" s="69" customFormat="1" ht="15.75"/>
    <row r="432" s="69" customFormat="1" ht="15.75"/>
    <row r="433" s="69" customFormat="1" ht="15.75"/>
    <row r="434" s="69" customFormat="1" ht="15.75"/>
    <row r="435" s="69" customFormat="1" ht="15.75"/>
    <row r="436" s="69" customFormat="1" ht="15.75"/>
    <row r="437" s="69" customFormat="1" ht="15.75"/>
    <row r="438" s="69" customFormat="1" ht="15.75"/>
    <row r="439" s="69" customFormat="1" ht="15.75"/>
    <row r="440" s="69" customFormat="1" ht="15.75"/>
    <row r="441" s="69" customFormat="1" ht="15.75"/>
    <row r="442" s="69" customFormat="1" ht="15.75"/>
    <row r="443" s="69" customFormat="1" ht="15.75"/>
    <row r="444" s="69" customFormat="1" ht="15.75"/>
    <row r="445" s="69" customFormat="1" ht="15.75"/>
    <row r="446" s="69" customFormat="1" ht="15.75"/>
    <row r="447" s="69" customFormat="1" ht="15.75"/>
    <row r="448" s="69" customFormat="1" ht="15.75"/>
    <row r="449" s="69" customFormat="1" ht="15.75"/>
    <row r="450" s="69" customFormat="1" ht="15.75"/>
    <row r="451" s="69" customFormat="1" ht="15.75"/>
    <row r="452" s="69" customFormat="1" ht="15.75"/>
    <row r="453" s="69" customFormat="1" ht="15.75"/>
    <row r="454" s="69" customFormat="1" ht="15.75"/>
    <row r="455" s="69" customFormat="1" ht="15.75"/>
    <row r="456" s="69" customFormat="1" ht="15.75"/>
    <row r="457" s="69" customFormat="1" ht="15.75"/>
    <row r="458" s="69" customFormat="1" ht="15.75"/>
    <row r="459" s="69" customFormat="1" ht="15.75"/>
    <row r="460" s="69" customFormat="1" ht="15.75"/>
    <row r="461" s="69" customFormat="1" ht="15.75"/>
    <row r="462" s="69" customFormat="1" ht="15.75"/>
    <row r="463" s="69" customFormat="1" ht="15.75"/>
    <row r="464" s="69" customFormat="1" ht="15.75"/>
    <row r="465" s="69" customFormat="1" ht="15.75"/>
    <row r="466" s="69" customFormat="1" ht="15.75"/>
    <row r="467" s="69" customFormat="1" ht="15.75"/>
    <row r="468" s="69" customFormat="1" ht="15.75"/>
    <row r="469" s="69" customFormat="1" ht="15.75"/>
    <row r="470" s="69" customFormat="1" ht="15.75"/>
    <row r="471" s="69" customFormat="1" ht="15.75"/>
    <row r="472" s="69" customFormat="1" ht="15.75"/>
    <row r="473" s="69" customFormat="1" ht="15.75"/>
    <row r="474" s="69" customFormat="1" ht="15.75"/>
    <row r="475" s="69" customFormat="1" ht="15.75"/>
    <row r="476" s="69" customFormat="1" ht="15.75"/>
    <row r="477" s="69" customFormat="1" ht="15.75"/>
    <row r="478" s="69" customFormat="1" ht="15.75"/>
    <row r="479" s="69" customFormat="1" ht="15.75"/>
    <row r="480" s="69" customFormat="1" ht="15.75"/>
    <row r="481" s="69" customFormat="1" ht="15.75"/>
    <row r="482" s="69" customFormat="1" ht="15.75"/>
    <row r="483" s="69" customFormat="1" ht="15.75"/>
    <row r="484" s="69" customFormat="1" ht="15.75"/>
    <row r="485" s="69" customFormat="1" ht="15.75"/>
    <row r="486" s="69" customFormat="1" ht="15.75"/>
    <row r="487" s="69" customFormat="1" ht="15.75"/>
    <row r="488" s="69" customFormat="1" ht="15.75"/>
    <row r="489" s="69" customFormat="1" ht="15.75"/>
    <row r="490" s="69" customFormat="1" ht="15.75"/>
    <row r="491" s="69" customFormat="1" ht="15.75"/>
    <row r="492" s="69" customFormat="1" ht="15.75"/>
    <row r="493" s="69" customFormat="1" ht="15.75"/>
    <row r="494" s="69" customFormat="1" ht="15.75"/>
    <row r="495" s="69" customFormat="1" ht="15.75"/>
    <row r="496" s="69" customFormat="1" ht="15.75"/>
    <row r="497" s="69" customFormat="1" ht="15.75"/>
    <row r="498" s="69" customFormat="1" ht="15.75"/>
    <row r="499" s="69" customFormat="1" ht="15.75"/>
    <row r="500" s="69" customFormat="1" ht="15.75"/>
    <row r="501" s="69" customFormat="1" ht="15.75"/>
    <row r="502" s="69" customFormat="1" ht="15.75"/>
    <row r="503" s="69" customFormat="1" ht="15.75"/>
    <row r="504" s="69" customFormat="1" ht="15.75"/>
    <row r="505" s="69" customFormat="1" ht="15.75"/>
    <row r="506" s="69" customFormat="1" ht="15.75"/>
    <row r="507" s="69" customFormat="1" ht="15.75"/>
    <row r="508" s="69" customFormat="1" ht="15.75"/>
    <row r="509" s="69" customFormat="1" ht="15.75"/>
    <row r="510" s="69" customFormat="1" ht="15.75"/>
    <row r="511" s="69" customFormat="1" ht="15.75"/>
    <row r="512" s="69" customFormat="1" ht="15.75"/>
    <row r="513" s="69" customFormat="1" ht="15.75"/>
    <row r="514" s="69" customFormat="1" ht="15.75"/>
    <row r="515" s="69" customFormat="1" ht="15.75"/>
    <row r="516" s="69" customFormat="1" ht="15.75"/>
    <row r="517" s="69" customFormat="1" ht="15.75"/>
    <row r="518" s="69" customFormat="1" ht="15.75"/>
    <row r="519" s="69" customFormat="1" ht="15.75"/>
    <row r="520" s="69" customFormat="1" ht="15.75"/>
    <row r="521" s="69" customFormat="1" ht="15.75"/>
    <row r="522" s="69" customFormat="1" ht="15.75"/>
    <row r="523" s="69" customFormat="1" ht="15.75"/>
    <row r="524" s="69" customFormat="1" ht="15.75"/>
    <row r="525" s="69" customFormat="1" ht="15.75"/>
    <row r="526" s="69" customFormat="1" ht="15.75"/>
    <row r="527" s="69" customFormat="1" ht="15.75"/>
    <row r="528" s="69" customFormat="1" ht="15.75"/>
    <row r="529" s="69" customFormat="1" ht="15.75"/>
    <row r="530" s="69" customFormat="1" ht="15.75"/>
    <row r="531" s="69" customFormat="1" ht="15.75"/>
    <row r="532" s="69" customFormat="1" ht="15.75"/>
    <row r="533" s="69" customFormat="1" ht="15.75"/>
    <row r="534" s="69" customFormat="1" ht="15.75"/>
    <row r="535" s="69" customFormat="1" ht="15.75"/>
    <row r="536" s="69" customFormat="1" ht="15.75"/>
    <row r="537" s="69" customFormat="1" ht="15.75"/>
    <row r="538" s="69" customFormat="1" ht="15.75"/>
    <row r="539" s="69" customFormat="1" ht="15.75"/>
    <row r="540" s="69" customFormat="1" ht="15.75"/>
    <row r="541" s="69" customFormat="1" ht="15.75"/>
    <row r="542" s="69" customFormat="1" ht="15.75"/>
    <row r="543" s="69" customFormat="1" ht="15.75"/>
    <row r="544" s="69" customFormat="1" ht="15.75"/>
    <row r="545" s="69" customFormat="1" ht="15.75"/>
    <row r="546" s="69" customFormat="1" ht="15.75"/>
    <row r="547" s="69" customFormat="1" ht="15.75"/>
    <row r="548" s="69" customFormat="1" ht="15.75"/>
    <row r="549" s="69" customFormat="1" ht="15.75"/>
    <row r="550" s="69" customFormat="1" ht="15.75"/>
    <row r="551" s="69" customFormat="1" ht="15.75"/>
    <row r="552" s="69" customFormat="1" ht="15.75"/>
    <row r="553" s="69" customFormat="1" ht="15.75"/>
    <row r="554" s="69" customFormat="1" ht="15.75"/>
    <row r="555" s="69" customFormat="1" ht="15.75"/>
    <row r="556" s="69" customFormat="1" ht="15.75"/>
    <row r="557" s="69" customFormat="1" ht="15.75"/>
    <row r="558" s="69" customFormat="1" ht="15.75"/>
    <row r="559" s="69" customFormat="1" ht="15.75"/>
    <row r="560" s="69" customFormat="1" ht="15.75"/>
    <row r="561" s="69" customFormat="1" ht="15.75"/>
    <row r="562" s="69" customFormat="1" ht="15.75"/>
    <row r="563" s="69" customFormat="1" ht="15.75"/>
    <row r="564" s="69" customFormat="1" ht="15.75"/>
    <row r="565" s="69" customFormat="1" ht="15.75"/>
    <row r="566" s="69" customFormat="1" ht="15.75"/>
    <row r="567" s="69" customFormat="1" ht="15.75"/>
    <row r="568" s="69" customFormat="1" ht="15.75"/>
    <row r="569" s="69" customFormat="1" ht="15.75"/>
    <row r="570" s="69" customFormat="1" ht="15.75"/>
    <row r="571" s="69" customFormat="1" ht="15.75"/>
    <row r="572" s="69" customFormat="1" ht="15.75"/>
    <row r="573" s="69" customFormat="1" ht="15.75"/>
    <row r="574" s="69" customFormat="1" ht="15.75"/>
    <row r="575" s="69" customFormat="1" ht="15.75"/>
    <row r="576" s="69" customFormat="1" ht="15.75"/>
    <row r="577" s="69" customFormat="1" ht="15.75"/>
    <row r="578" s="69" customFormat="1" ht="15.75"/>
    <row r="579" s="69" customFormat="1" ht="15.75"/>
    <row r="580" s="69" customFormat="1" ht="15.75"/>
    <row r="581" s="69" customFormat="1" ht="15.75"/>
    <row r="582" s="69" customFormat="1" ht="15.75"/>
    <row r="583" s="69" customFormat="1" ht="15.75"/>
    <row r="584" s="69" customFormat="1" ht="15.75"/>
    <row r="585" s="69" customFormat="1" ht="15.75"/>
    <row r="586" s="69" customFormat="1" ht="15.75"/>
    <row r="587" s="69" customFormat="1" ht="15.75"/>
    <row r="588" s="69" customFormat="1" ht="15.75"/>
    <row r="589" s="69" customFormat="1" ht="15.75"/>
    <row r="590" s="69" customFormat="1" ht="15.75"/>
    <row r="591" s="69" customFormat="1" ht="15.75"/>
    <row r="592" s="69" customFormat="1" ht="15.75"/>
    <row r="593" s="69" customFormat="1" ht="15.75"/>
    <row r="594" s="69" customFormat="1" ht="15.75"/>
    <row r="595" s="69" customFormat="1" ht="15.75"/>
    <row r="596" s="69" customFormat="1" ht="15.75"/>
    <row r="597" s="69" customFormat="1" ht="15.75"/>
    <row r="598" s="69" customFormat="1" ht="15.75"/>
    <row r="599" s="69" customFormat="1" ht="15.75"/>
    <row r="600" s="69" customFormat="1" ht="15.75"/>
    <row r="601" s="69" customFormat="1" ht="15.75"/>
    <row r="602" s="69" customFormat="1" ht="15.75"/>
    <row r="603" s="69" customFormat="1" ht="15.75"/>
    <row r="604" s="69" customFormat="1" ht="15.75"/>
    <row r="605" s="69" customFormat="1" ht="15.75"/>
    <row r="606" s="69" customFormat="1" ht="15.75"/>
    <row r="607" s="69" customFormat="1" ht="15.75"/>
    <row r="608" s="69" customFormat="1" ht="15.75"/>
    <row r="609" s="69" customFormat="1" ht="15.75"/>
    <row r="610" s="69" customFormat="1" ht="15.75"/>
    <row r="611" s="69" customFormat="1" ht="15.75"/>
    <row r="612" s="69" customFormat="1" ht="15.75"/>
    <row r="613" s="69" customFormat="1" ht="15.75"/>
    <row r="614" s="69" customFormat="1" ht="15.75"/>
    <row r="615" s="69" customFormat="1" ht="15.75"/>
    <row r="616" s="69" customFormat="1" ht="15.75"/>
    <row r="617" s="69" customFormat="1" ht="15.75"/>
    <row r="618" s="69" customFormat="1" ht="15.75"/>
    <row r="619" s="69" customFormat="1" ht="15.75"/>
    <row r="620" s="69" customFormat="1" ht="15.75"/>
    <row r="621" s="69" customFormat="1" ht="15.75"/>
    <row r="622" s="69" customFormat="1" ht="15.75"/>
    <row r="623" s="69" customFormat="1" ht="15.75"/>
    <row r="624" s="69" customFormat="1" ht="15.75"/>
    <row r="625" s="69" customFormat="1" ht="15.75"/>
    <row r="626" s="69" customFormat="1" ht="15.75"/>
    <row r="627" s="69" customFormat="1" ht="15.75"/>
    <row r="628" s="69" customFormat="1" ht="15.75"/>
    <row r="629" s="69" customFormat="1" ht="15.75"/>
    <row r="630" s="69" customFormat="1" ht="15.75"/>
    <row r="631" s="69" customFormat="1" ht="15.75"/>
    <row r="632" s="69" customFormat="1" ht="15.75"/>
    <row r="633" s="69" customFormat="1" ht="15.75"/>
    <row r="634" s="69" customFormat="1" ht="15.75"/>
    <row r="635" s="69" customFormat="1" ht="15.75"/>
    <row r="636" s="69" customFormat="1" ht="15.75"/>
    <row r="637" s="69" customFormat="1" ht="15.75"/>
    <row r="638" s="69" customFormat="1" ht="15.75"/>
    <row r="639" s="69" customFormat="1" ht="15.75"/>
    <row r="640" s="69" customFormat="1" ht="15.75"/>
    <row r="641" s="69" customFormat="1" ht="15.75"/>
    <row r="642" s="69" customFormat="1" ht="15.75"/>
    <row r="643" s="69" customFormat="1" ht="15.75"/>
    <row r="644" s="69" customFormat="1" ht="15.75"/>
    <row r="645" s="69" customFormat="1" ht="15.75"/>
    <row r="646" s="69" customFormat="1" ht="15.75"/>
    <row r="647" s="69" customFormat="1" ht="15.75"/>
    <row r="648" s="69" customFormat="1" ht="15.75"/>
    <row r="649" s="69" customFormat="1" ht="15.75"/>
    <row r="650" s="69" customFormat="1" ht="15.75"/>
    <row r="651" s="69" customFormat="1" ht="15.75"/>
    <row r="652" s="69" customFormat="1" ht="15.75"/>
    <row r="653" s="69" customFormat="1" ht="15.75"/>
    <row r="654" s="69" customFormat="1" ht="15.75"/>
    <row r="655" s="69" customFormat="1" ht="15.75"/>
    <row r="656" s="69" customFormat="1" ht="15.75"/>
    <row r="657" s="69" customFormat="1" ht="15.75"/>
    <row r="658" s="69" customFormat="1" ht="15.75"/>
    <row r="659" s="69" customFormat="1" ht="15.75"/>
    <row r="660" s="69" customFormat="1" ht="15.75"/>
    <row r="661" s="69" customFormat="1" ht="15.75"/>
    <row r="662" s="69" customFormat="1" ht="15.75"/>
    <row r="663" s="69" customFormat="1" ht="15.75"/>
    <row r="664" s="69" customFormat="1" ht="15.75"/>
    <row r="665" s="69" customFormat="1" ht="15.75"/>
    <row r="666" s="69" customFormat="1" ht="15.75"/>
    <row r="667" s="69" customFormat="1" ht="15.75"/>
    <row r="668" s="69" customFormat="1" ht="15.75"/>
    <row r="669" s="69" customFormat="1" ht="15.75"/>
    <row r="670" s="69" customFormat="1" ht="15.75"/>
    <row r="671" s="69" customFormat="1" ht="15.75"/>
    <row r="672" s="69" customFormat="1" ht="15.75"/>
    <row r="673" s="69" customFormat="1" ht="15.75"/>
    <row r="674" s="69" customFormat="1" ht="15.75"/>
    <row r="675" s="69" customFormat="1" ht="15.75"/>
    <row r="676" s="69" customFormat="1" ht="15.75"/>
    <row r="677" s="69" customFormat="1" ht="15.75"/>
    <row r="678" s="69" customFormat="1" ht="15.75"/>
    <row r="679" s="69" customFormat="1" ht="15.75"/>
    <row r="680" s="69" customFormat="1" ht="15.75"/>
    <row r="681" s="69" customFormat="1" ht="15.75"/>
    <row r="682" s="69" customFormat="1" ht="15.75"/>
    <row r="683" s="69" customFormat="1" ht="15.75"/>
    <row r="684" s="69" customFormat="1" ht="15.75"/>
    <row r="685" s="69" customFormat="1" ht="15.75"/>
    <row r="686" s="69" customFormat="1" ht="15.75"/>
    <row r="687" s="69" customFormat="1" ht="15.75"/>
    <row r="688" s="69" customFormat="1" ht="15.75"/>
    <row r="689" s="69" customFormat="1" ht="15.75"/>
    <row r="690" s="69" customFormat="1" ht="15.75"/>
    <row r="691" s="69" customFormat="1" ht="15.75"/>
    <row r="692" s="69" customFormat="1" ht="15.75"/>
    <row r="693" s="69" customFormat="1" ht="15.75"/>
    <row r="694" s="69" customFormat="1" ht="15.75"/>
    <row r="695" s="69" customFormat="1" ht="15.75"/>
    <row r="696" s="69" customFormat="1" ht="15.75"/>
    <row r="697" s="69" customFormat="1" ht="15.75"/>
    <row r="698" s="69" customFormat="1" ht="15.75"/>
    <row r="699" s="69" customFormat="1" ht="15.75"/>
    <row r="700" s="69" customFormat="1" ht="15.75"/>
    <row r="701" s="69" customFormat="1" ht="15.75"/>
    <row r="702" s="69" customFormat="1" ht="15.75"/>
    <row r="703" s="69" customFormat="1" ht="15.75"/>
    <row r="704" s="69" customFormat="1" ht="15.75"/>
    <row r="705" s="69" customFormat="1" ht="15.75"/>
    <row r="706" s="69" customFormat="1" ht="15.75"/>
    <row r="707" s="69" customFormat="1" ht="15.75"/>
    <row r="708" s="69" customFormat="1" ht="15.75"/>
    <row r="709" s="69" customFormat="1" ht="15.75"/>
    <row r="710" s="69" customFormat="1" ht="15.75"/>
    <row r="711" s="69" customFormat="1" ht="15.75"/>
    <row r="712" s="69" customFormat="1" ht="15.75"/>
    <row r="713" s="69" customFormat="1" ht="15.75"/>
    <row r="714" s="69" customFormat="1" ht="15.75"/>
    <row r="715" s="69" customFormat="1" ht="15.75"/>
    <row r="716" s="69" customFormat="1" ht="15.75"/>
    <row r="717" s="69" customFormat="1" ht="15.75"/>
    <row r="718" s="69" customFormat="1" ht="15.75"/>
    <row r="719" s="69" customFormat="1" ht="15.75"/>
    <row r="720" s="69" customFormat="1" ht="15.75"/>
    <row r="721" s="69" customFormat="1" ht="15.75"/>
    <row r="722" s="69" customFormat="1" ht="15.75"/>
    <row r="723" s="69" customFormat="1" ht="15.75"/>
    <row r="724" s="69" customFormat="1" ht="15.75"/>
    <row r="725" s="69" customFormat="1" ht="15.75"/>
    <row r="726" s="69" customFormat="1" ht="15.75"/>
    <row r="727" s="69" customFormat="1" ht="15.75"/>
    <row r="728" s="69" customFormat="1" ht="15.75"/>
    <row r="729" s="69" customFormat="1" ht="15.75"/>
    <row r="730" s="69" customFormat="1" ht="15.75"/>
    <row r="731" s="69" customFormat="1" ht="15.75"/>
    <row r="732" s="69" customFormat="1" ht="15.75"/>
    <row r="733" s="69" customFormat="1" ht="15.75"/>
    <row r="734" s="69" customFormat="1" ht="15.75"/>
    <row r="735" s="69" customFormat="1" ht="15.75"/>
    <row r="736" s="69" customFormat="1" ht="15.75"/>
    <row r="737" s="69" customFormat="1" ht="15.75"/>
    <row r="738" s="69" customFormat="1" ht="15.75"/>
    <row r="739" s="69" customFormat="1" ht="15.75"/>
    <row r="740" s="69" customFormat="1" ht="15.75"/>
    <row r="741" s="69" customFormat="1" ht="15.75"/>
    <row r="742" s="69" customFormat="1" ht="15.75"/>
    <row r="743" s="69" customFormat="1" ht="15.75"/>
    <row r="744" s="69" customFormat="1" ht="15.75"/>
    <row r="745" s="69" customFormat="1" ht="15.75"/>
    <row r="746" s="69" customFormat="1" ht="15.75"/>
    <row r="747" s="69" customFormat="1" ht="15.75"/>
    <row r="748" s="69" customFormat="1" ht="15.75"/>
    <row r="749" s="69" customFormat="1" ht="15.75"/>
    <row r="750" s="69" customFormat="1" ht="15.75"/>
    <row r="751" s="69" customFormat="1" ht="15.75"/>
    <row r="752" s="69" customFormat="1" ht="15.75"/>
    <row r="753" s="69" customFormat="1" ht="15.75"/>
    <row r="754" s="69" customFormat="1" ht="15.75"/>
    <row r="755" s="69" customFormat="1" ht="15.75"/>
    <row r="756" s="69" customFormat="1" ht="15.75"/>
    <row r="757" s="69" customFormat="1" ht="15.75"/>
    <row r="758" s="69" customFormat="1" ht="15.75"/>
    <row r="759" s="69" customFormat="1" ht="15.75"/>
    <row r="760" s="69" customFormat="1" ht="15.75"/>
    <row r="761" s="69" customFormat="1" ht="15.75"/>
    <row r="762" s="69" customFormat="1" ht="15.75"/>
    <row r="763" s="69" customFormat="1" ht="15.75"/>
    <row r="764" s="69" customFormat="1" ht="15.75"/>
    <row r="765" s="69" customFormat="1" ht="15.75"/>
    <row r="766" s="69" customFormat="1" ht="15.75"/>
    <row r="767" s="69" customFormat="1" ht="15.75"/>
    <row r="768" s="69" customFormat="1" ht="15.75"/>
    <row r="769" s="69" customFormat="1" ht="15.75"/>
    <row r="770" s="69" customFormat="1" ht="15.75"/>
    <row r="771" s="69" customFormat="1" ht="15.75"/>
    <row r="772" s="69" customFormat="1" ht="15.75"/>
    <row r="773" s="69" customFormat="1" ht="15.75"/>
    <row r="774" s="69" customFormat="1" ht="15.75"/>
    <row r="775" s="69" customFormat="1" ht="15.75"/>
    <row r="776" s="69" customFormat="1" ht="15.75"/>
    <row r="777" s="69" customFormat="1" ht="15.75"/>
    <row r="778" s="69" customFormat="1" ht="15.75"/>
    <row r="779" s="69" customFormat="1" ht="15.75"/>
    <row r="780" s="69" customFormat="1" ht="15.75"/>
    <row r="781" s="69" customFormat="1" ht="15.75"/>
    <row r="782" s="69" customFormat="1" ht="15.75"/>
    <row r="783" s="69" customFormat="1" ht="15.75"/>
    <row r="784" s="69" customFormat="1" ht="15.75"/>
    <row r="785" s="69" customFormat="1" ht="15.75"/>
    <row r="786" s="69" customFormat="1" ht="15.75"/>
    <row r="787" s="69" customFormat="1" ht="15.75"/>
    <row r="788" s="69" customFormat="1" ht="15.75"/>
    <row r="789" s="69" customFormat="1" ht="15.75"/>
    <row r="790" s="69" customFormat="1" ht="15.75"/>
    <row r="791" s="69" customFormat="1" ht="15.75"/>
    <row r="792" s="69" customFormat="1" ht="15.75"/>
    <row r="793" s="69" customFormat="1" ht="15.75"/>
    <row r="794" s="69" customFormat="1" ht="15.75"/>
    <row r="795" s="69" customFormat="1" ht="15.75"/>
    <row r="796" s="69" customFormat="1" ht="15.75"/>
    <row r="797" s="69" customFormat="1" ht="15.75"/>
    <row r="798" s="69" customFormat="1" ht="15.75"/>
    <row r="799" s="69" customFormat="1" ht="15.75"/>
    <row r="800" s="69" customFormat="1" ht="15.75"/>
    <row r="801" s="69" customFormat="1" ht="15.75"/>
    <row r="802" s="69" customFormat="1" ht="15.75"/>
    <row r="803" s="69" customFormat="1" ht="15.75"/>
    <row r="804" s="69" customFormat="1" ht="15.75"/>
    <row r="805" s="69" customFormat="1" ht="15.75"/>
    <row r="806" s="69" customFormat="1" ht="15.75"/>
    <row r="807" s="69" customFormat="1" ht="15.75"/>
    <row r="808" s="69" customFormat="1" ht="15.75"/>
    <row r="809" s="69" customFormat="1" ht="15.75"/>
    <row r="810" s="69" customFormat="1" ht="15.75"/>
    <row r="811" s="69" customFormat="1" ht="15.75"/>
    <row r="812" s="69" customFormat="1" ht="15.75"/>
    <row r="813" s="69" customFormat="1" ht="15.75"/>
    <row r="814" s="69" customFormat="1" ht="15.75"/>
    <row r="815" s="69" customFormat="1" ht="15.75"/>
    <row r="816" s="69" customFormat="1" ht="15.75"/>
    <row r="817" s="69" customFormat="1" ht="15.75"/>
    <row r="818" s="69" customFormat="1" ht="15.75"/>
    <row r="819" s="69" customFormat="1" ht="15.75"/>
    <row r="820" s="69" customFormat="1" ht="15.75"/>
    <row r="821" s="69" customFormat="1" ht="15.75"/>
    <row r="822" s="69" customFormat="1" ht="15.75"/>
    <row r="823" s="69" customFormat="1" ht="15.75"/>
    <row r="824" s="69" customFormat="1" ht="15.75"/>
    <row r="825" s="69" customFormat="1" ht="15.75"/>
    <row r="826" s="69" customFormat="1" ht="15.75"/>
    <row r="827" s="69" customFormat="1" ht="15.75"/>
    <row r="828" s="69" customFormat="1" ht="15.75"/>
    <row r="829" s="69" customFormat="1" ht="15.75"/>
    <row r="830" s="69" customFormat="1" ht="15.75"/>
    <row r="831" s="69" customFormat="1" ht="15.75"/>
    <row r="832" s="69" customFormat="1" ht="15.75"/>
    <row r="833" s="69" customFormat="1" ht="15.75"/>
    <row r="834" s="69" customFormat="1" ht="15.75"/>
    <row r="835" s="69" customFormat="1" ht="15.75"/>
    <row r="836" s="69" customFormat="1" ht="15.75"/>
    <row r="837" s="69" customFormat="1" ht="15.75"/>
    <row r="838" s="69" customFormat="1" ht="15.75"/>
    <row r="839" s="69" customFormat="1" ht="15.75"/>
    <row r="840" s="69" customFormat="1" ht="15.75"/>
    <row r="841" s="69" customFormat="1" ht="15.75"/>
    <row r="842" s="69" customFormat="1" ht="15.75"/>
    <row r="843" s="69" customFormat="1" ht="15.75"/>
    <row r="844" s="69" customFormat="1" ht="15.75"/>
    <row r="845" s="69" customFormat="1" ht="15.75"/>
    <row r="846" s="69" customFormat="1" ht="15.75"/>
    <row r="847" s="69" customFormat="1" ht="15.75"/>
    <row r="848" s="69" customFormat="1" ht="15.75"/>
    <row r="849" s="69" customFormat="1" ht="15.75"/>
    <row r="850" s="69" customFormat="1" ht="15.75"/>
    <row r="851" s="69" customFormat="1" ht="15.75"/>
    <row r="852" s="69" customFormat="1" ht="15.75"/>
    <row r="853" s="69" customFormat="1" ht="15.75"/>
    <row r="854" s="69" customFormat="1" ht="15.75"/>
    <row r="855" s="69" customFormat="1" ht="15.75"/>
    <row r="856" s="69" customFormat="1" ht="15.75"/>
    <row r="857" s="69" customFormat="1" ht="15.75"/>
    <row r="858" s="69" customFormat="1" ht="15.75"/>
    <row r="859" s="69" customFormat="1" ht="15.75"/>
    <row r="860" s="69" customFormat="1" ht="15.75"/>
    <row r="861" s="69" customFormat="1" ht="15.75"/>
    <row r="862" s="69" customFormat="1" ht="15.75"/>
    <row r="863" s="69" customFormat="1" ht="15.75"/>
    <row r="864" s="69" customFormat="1" ht="15.75"/>
    <row r="865" s="69" customFormat="1" ht="15.75"/>
    <row r="866" s="69" customFormat="1" ht="15.75"/>
    <row r="867" s="69" customFormat="1" ht="15.75"/>
    <row r="868" s="69" customFormat="1" ht="15.75"/>
    <row r="869" s="69" customFormat="1" ht="15.75"/>
    <row r="870" s="69" customFormat="1" ht="15.75"/>
    <row r="871" s="69" customFormat="1" ht="15.75"/>
    <row r="872" s="69" customFormat="1" ht="15.75"/>
    <row r="873" s="69" customFormat="1" ht="15.75"/>
    <row r="874" s="69" customFormat="1" ht="15.75"/>
    <row r="875" s="69" customFormat="1" ht="15.75"/>
    <row r="876" s="69" customFormat="1" ht="15.75"/>
    <row r="877" s="69" customFormat="1" ht="15.75"/>
    <row r="878" s="69" customFormat="1" ht="15.75"/>
    <row r="879" s="69" customFormat="1" ht="15.75"/>
    <row r="880" s="69" customFormat="1" ht="15.75"/>
    <row r="881" s="69" customFormat="1" ht="15.75"/>
    <row r="882" s="69" customFormat="1" ht="15.75"/>
    <row r="883" s="69" customFormat="1" ht="15.75"/>
    <row r="884" s="69" customFormat="1" ht="15.75"/>
    <row r="885" s="69" customFormat="1" ht="15.75"/>
    <row r="886" s="69" customFormat="1" ht="15.75"/>
    <row r="887" s="69" customFormat="1" ht="15.75"/>
    <row r="888" s="69" customFormat="1" ht="15.75"/>
    <row r="889" s="69" customFormat="1" ht="15.75"/>
    <row r="890" s="69" customFormat="1" ht="15.75"/>
    <row r="891" s="69" customFormat="1" ht="15.75"/>
    <row r="892" s="69" customFormat="1" ht="15.75"/>
    <row r="893" s="69" customFormat="1" ht="15.75"/>
    <row r="894" s="69" customFormat="1" ht="15.75"/>
    <row r="895" s="69" customFormat="1" ht="15.75"/>
    <row r="896" s="69" customFormat="1" ht="15.75"/>
    <row r="897" s="69" customFormat="1" ht="15.75"/>
    <row r="898" s="69" customFormat="1" ht="15.75"/>
    <row r="899" s="69" customFormat="1" ht="15.75"/>
    <row r="900" s="69" customFormat="1" ht="15.75"/>
    <row r="901" s="69" customFormat="1" ht="15.75"/>
    <row r="902" s="69" customFormat="1" ht="15.75"/>
    <row r="903" s="69" customFormat="1" ht="15.75"/>
    <row r="904" s="69" customFormat="1" ht="15.75"/>
    <row r="905" s="69" customFormat="1" ht="15.75"/>
    <row r="906" s="69" customFormat="1" ht="15.75"/>
    <row r="907" s="69" customFormat="1" ht="15.75"/>
    <row r="908" s="69" customFormat="1" ht="15.75"/>
    <row r="909" s="69" customFormat="1" ht="15.75"/>
    <row r="910" s="69" customFormat="1" ht="15.75"/>
    <row r="911" s="69" customFormat="1" ht="15.75"/>
    <row r="912" s="69" customFormat="1" ht="15.75"/>
    <row r="913" s="69" customFormat="1" ht="15.75"/>
    <row r="914" s="69" customFormat="1" ht="15.75"/>
    <row r="915" s="69" customFormat="1" ht="15.75"/>
    <row r="916" s="69" customFormat="1" ht="15.75"/>
    <row r="917" s="69" customFormat="1" ht="15.75"/>
    <row r="918" s="69" customFormat="1" ht="15.75"/>
    <row r="919" s="69" customFormat="1" ht="15.75"/>
    <row r="920" s="69" customFormat="1" ht="15.75"/>
    <row r="921" s="69" customFormat="1" ht="15.75"/>
    <row r="922" s="69" customFormat="1" ht="15.75"/>
    <row r="923" s="69" customFormat="1" ht="15.75"/>
    <row r="924" s="69" customFormat="1" ht="15.75"/>
    <row r="925" s="69" customFormat="1" ht="15.75"/>
    <row r="926" s="69" customFormat="1" ht="15.75"/>
    <row r="927" s="69" customFormat="1" ht="15.75"/>
    <row r="928" s="69" customFormat="1" ht="15.75"/>
    <row r="929" s="69" customFormat="1" ht="15.75"/>
    <row r="930" s="69" customFormat="1" ht="15.75"/>
    <row r="931" s="69" customFormat="1" ht="15.75"/>
    <row r="932" s="69" customFormat="1" ht="15.75"/>
    <row r="933" s="69" customFormat="1" ht="15.75"/>
    <row r="934" s="69" customFormat="1" ht="15.75"/>
    <row r="935" s="69" customFormat="1" ht="15.75"/>
    <row r="936" s="69" customFormat="1" ht="15.75"/>
    <row r="937" s="69" customFormat="1" ht="15.75"/>
    <row r="938" s="69" customFormat="1" ht="15.75"/>
    <row r="939" s="69" customFormat="1" ht="15.75"/>
    <row r="940" s="69" customFormat="1" ht="15.75"/>
    <row r="941" s="69" customFormat="1" ht="15.75"/>
    <row r="942" s="69" customFormat="1" ht="15.75"/>
    <row r="943" s="69" customFormat="1" ht="15.75"/>
    <row r="944" s="69" customFormat="1" ht="15.75"/>
    <row r="945" s="69" customFormat="1" ht="15.75"/>
    <row r="946" s="69" customFormat="1" ht="15.75"/>
    <row r="947" s="69" customFormat="1" ht="15.75"/>
    <row r="948" s="69" customFormat="1" ht="15.75"/>
    <row r="949" s="69" customFormat="1" ht="15.75"/>
    <row r="950" s="69" customFormat="1" ht="15.75"/>
    <row r="951" s="69" customFormat="1" ht="15.75"/>
    <row r="952" s="69" customFormat="1" ht="15.75"/>
    <row r="953" s="69" customFormat="1" ht="15.75"/>
    <row r="954" s="69" customFormat="1" ht="15.75"/>
    <row r="955" s="69" customFormat="1" ht="15.75"/>
    <row r="956" s="69" customFormat="1" ht="15.75"/>
    <row r="957" s="69" customFormat="1" ht="15.75"/>
    <row r="958" s="69" customFormat="1" ht="15.75"/>
    <row r="959" s="69" customFormat="1" ht="15.75"/>
    <row r="960" s="69" customFormat="1" ht="15.75"/>
    <row r="961" s="69" customFormat="1" ht="15.75"/>
    <row r="962" s="69" customFormat="1" ht="15.75"/>
    <row r="963" s="69" customFormat="1" ht="15.75"/>
    <row r="964" s="69" customFormat="1" ht="15.75"/>
    <row r="965" s="69" customFormat="1" ht="15.75"/>
    <row r="966" s="69" customFormat="1" ht="15.75"/>
    <row r="967" s="69" customFormat="1" ht="15.75"/>
    <row r="968" s="69" customFormat="1" ht="15.75"/>
    <row r="969" s="69" customFormat="1" ht="15.75"/>
    <row r="970" s="69" customFormat="1" ht="15.75"/>
    <row r="971" s="69" customFormat="1" ht="15.75"/>
    <row r="972" s="69" customFormat="1" ht="15.75"/>
    <row r="973" s="69" customFormat="1" ht="15.75"/>
    <row r="974" s="69" customFormat="1" ht="15.75"/>
    <row r="975" s="69" customFormat="1" ht="15.75"/>
    <row r="976" s="69" customFormat="1" ht="15.75"/>
    <row r="977" s="69" customFormat="1" ht="15.75"/>
    <row r="978" s="69" customFormat="1" ht="15.75"/>
    <row r="979" s="69" customFormat="1" ht="15.75"/>
    <row r="980" s="69" customFormat="1" ht="15.75"/>
    <row r="981" s="69" customFormat="1" ht="15.75"/>
    <row r="982" s="69" customFormat="1" ht="15.75"/>
    <row r="983" s="69" customFormat="1" ht="15.75"/>
    <row r="984" s="69" customFormat="1" ht="15.75"/>
    <row r="985" s="69" customFormat="1" ht="15.75"/>
    <row r="986" s="69" customFormat="1" ht="15.75"/>
    <row r="987" s="69" customFormat="1" ht="15.75"/>
    <row r="988" s="69" customFormat="1" ht="15.75"/>
    <row r="989" s="69" customFormat="1" ht="15.75"/>
    <row r="990" s="69" customFormat="1" ht="15.75"/>
    <row r="991" s="69" customFormat="1" ht="15.75"/>
    <row r="992" s="69" customFormat="1" ht="15.75"/>
    <row r="993" s="69" customFormat="1" ht="15.75"/>
    <row r="994" s="69" customFormat="1" ht="15.75"/>
    <row r="995" s="69" customFormat="1" ht="15.75"/>
    <row r="996" s="69" customFormat="1" ht="15.75"/>
    <row r="997" s="69" customFormat="1" ht="15.75"/>
    <row r="998" s="69" customFormat="1" ht="15.75"/>
    <row r="999" s="69" customFormat="1" ht="15.75"/>
    <row r="1000" s="69" customFormat="1" ht="15.75"/>
    <row r="1001" s="69" customFormat="1" ht="15.75"/>
    <row r="1002" s="69" customFormat="1" ht="15.75"/>
    <row r="1003" s="69" customFormat="1" ht="15.75"/>
    <row r="1004" s="69" customFormat="1" ht="15.75"/>
    <row r="1005" s="69" customFormat="1" ht="15.75"/>
    <row r="1006" s="69" customFormat="1" ht="15.75"/>
    <row r="1007" s="69" customFormat="1" ht="15.75"/>
    <row r="1008" s="69" customFormat="1" ht="15.75"/>
    <row r="1009" s="69" customFormat="1" ht="15.75"/>
    <row r="1010" s="69" customFormat="1" ht="15.75"/>
    <row r="1011" s="69" customFormat="1" ht="15.75"/>
    <row r="1012" s="69" customFormat="1" ht="15.75"/>
    <row r="1013" s="69" customFormat="1" ht="15.75"/>
    <row r="1014" s="69" customFormat="1" ht="15.75"/>
    <row r="1015" s="69" customFormat="1" ht="15.75"/>
    <row r="1016" s="69" customFormat="1" ht="15.75"/>
    <row r="1017" s="69" customFormat="1" ht="15.75"/>
    <row r="1018" s="69" customFormat="1" ht="15.75"/>
    <row r="1019" s="69" customFormat="1" ht="15.75"/>
    <row r="1020" s="69" customFormat="1" ht="15.75"/>
    <row r="1021" s="69" customFormat="1" ht="15.75"/>
    <row r="1022" s="69" customFormat="1" ht="15.75"/>
    <row r="1023" s="69" customFormat="1" ht="15.75"/>
    <row r="1024" s="69" customFormat="1" ht="15.75"/>
    <row r="1025" s="69" customFormat="1" ht="15.75"/>
    <row r="1026" s="69" customFormat="1" ht="15.75"/>
    <row r="1027" s="69" customFormat="1" ht="15.75"/>
    <row r="1028" s="69" customFormat="1" ht="15.75"/>
    <row r="1029" s="69" customFormat="1" ht="15.75"/>
    <row r="1030" s="69" customFormat="1" ht="15.75"/>
    <row r="1031" s="69" customFormat="1" ht="15.75"/>
    <row r="1032" s="69" customFormat="1" ht="15.75"/>
    <row r="1033" s="69" customFormat="1" ht="15.75"/>
    <row r="1034" s="69" customFormat="1" ht="15.75"/>
    <row r="1035" s="69" customFormat="1" ht="15.75"/>
    <row r="1036" s="69" customFormat="1" ht="15.75"/>
    <row r="1037" s="69" customFormat="1" ht="15.75"/>
    <row r="1038" s="69" customFormat="1" ht="15.75"/>
    <row r="1039" s="69" customFormat="1" ht="15.75"/>
    <row r="1040" s="69" customFormat="1" ht="15.75"/>
    <row r="1041" s="69" customFormat="1" ht="15.75"/>
    <row r="1042" s="69" customFormat="1" ht="15.75"/>
    <row r="1043" s="69" customFormat="1" ht="15.75"/>
    <row r="1044" s="69" customFormat="1" ht="15.75"/>
    <row r="1045" s="69" customFormat="1" ht="15.75"/>
    <row r="1046" s="69" customFormat="1" ht="15.75"/>
    <row r="1047" s="69" customFormat="1" ht="15.75"/>
    <row r="1048" s="69" customFormat="1" ht="15.75"/>
    <row r="1049" s="69" customFormat="1" ht="15.75"/>
    <row r="1050" s="69" customFormat="1" ht="15.75"/>
    <row r="1051" s="69" customFormat="1" ht="15.75"/>
    <row r="1052" s="69" customFormat="1" ht="15.75"/>
    <row r="1053" s="69" customFormat="1" ht="15.75"/>
    <row r="1054" s="69" customFormat="1" ht="15.75"/>
    <row r="1055" s="69" customFormat="1" ht="15.75"/>
    <row r="1056" s="69" customFormat="1" ht="15.75"/>
    <row r="1057" s="69" customFormat="1" ht="15.75"/>
    <row r="1058" s="69" customFormat="1" ht="15.75"/>
    <row r="1059" s="69" customFormat="1" ht="15.75"/>
    <row r="1060" s="69" customFormat="1" ht="15.75"/>
    <row r="1061" s="69" customFormat="1" ht="15.75"/>
    <row r="1062" s="69" customFormat="1" ht="15.75"/>
    <row r="1063" s="69" customFormat="1" ht="15.75"/>
    <row r="1064" s="69" customFormat="1" ht="15.75"/>
    <row r="1065" s="69" customFormat="1" ht="15.75"/>
    <row r="1066" s="69" customFormat="1" ht="15.75"/>
    <row r="1067" s="69" customFormat="1" ht="15.75"/>
    <row r="1068" s="69" customFormat="1" ht="15.75"/>
    <row r="1069" s="69" customFormat="1" ht="15.75"/>
    <row r="1070" s="69" customFormat="1" ht="15.75"/>
    <row r="1071" s="69" customFormat="1" ht="15.75"/>
    <row r="1072" s="69" customFormat="1" ht="15.75"/>
    <row r="1073" s="69" customFormat="1" ht="15.75"/>
    <row r="1074" s="69" customFormat="1" ht="15.75"/>
    <row r="1075" s="69" customFormat="1" ht="15.75"/>
    <row r="1076" s="69" customFormat="1" ht="15.75"/>
    <row r="1077" s="69" customFormat="1" ht="15.75"/>
    <row r="1078" s="69" customFormat="1" ht="15.75"/>
    <row r="1079" s="69" customFormat="1" ht="15.75"/>
    <row r="1080" s="69" customFormat="1" ht="15.75"/>
    <row r="1081" s="69" customFormat="1" ht="15.75"/>
    <row r="1082" s="69" customFormat="1" ht="15.75"/>
    <row r="1083" s="69" customFormat="1" ht="15.75"/>
    <row r="1084" s="69" customFormat="1" ht="15.75"/>
    <row r="1085" s="69" customFormat="1" ht="15.75"/>
    <row r="1086" s="69" customFormat="1" ht="15.75"/>
    <row r="1087" s="69" customFormat="1" ht="15.75"/>
    <row r="1088" s="69" customFormat="1" ht="15.75"/>
    <row r="1089" s="69" customFormat="1" ht="15.75"/>
    <row r="1090" s="69" customFormat="1" ht="15.75"/>
    <row r="1091" s="69" customFormat="1" ht="15.75"/>
    <row r="1092" s="69" customFormat="1" ht="15.75"/>
    <row r="1093" s="69" customFormat="1" ht="15.75"/>
    <row r="1094" s="69" customFormat="1" ht="15.75"/>
    <row r="1095" s="69" customFormat="1" ht="15.75"/>
    <row r="1096" s="69" customFormat="1" ht="15.75"/>
    <row r="1097" s="69" customFormat="1" ht="15.75"/>
    <row r="1098" s="69" customFormat="1" ht="15.75"/>
    <row r="1099" s="69" customFormat="1" ht="15.75"/>
    <row r="1100" s="69" customFormat="1" ht="15.75"/>
    <row r="1101" s="69" customFormat="1" ht="15.75"/>
    <row r="1102" s="69" customFormat="1" ht="15.75"/>
    <row r="1103" s="69" customFormat="1" ht="15.75"/>
    <row r="1104" s="69" customFormat="1" ht="15.75"/>
    <row r="1105" s="69" customFormat="1" ht="15.75"/>
    <row r="1106" s="69" customFormat="1" ht="15.75"/>
    <row r="1107" s="69" customFormat="1" ht="15.75"/>
    <row r="1108" s="69" customFormat="1" ht="15.75"/>
    <row r="1109" s="69" customFormat="1" ht="15.75"/>
    <row r="1110" s="69" customFormat="1" ht="15.75"/>
    <row r="1111" s="69" customFormat="1" ht="15.75"/>
    <row r="1112" s="69" customFormat="1" ht="15.75"/>
    <row r="1113" s="69" customFormat="1" ht="15.75"/>
    <row r="1114" s="69" customFormat="1" ht="15.75"/>
    <row r="1115" s="69" customFormat="1" ht="15.75"/>
    <row r="1116" s="69" customFormat="1" ht="15.75"/>
    <row r="1117" s="69" customFormat="1" ht="15.75"/>
    <row r="1118" s="69" customFormat="1" ht="15.75"/>
    <row r="1119" s="69" customFormat="1" ht="15.75"/>
    <row r="1120" s="69" customFormat="1" ht="15.75"/>
    <row r="1121" s="69" customFormat="1" ht="15.75"/>
    <row r="1122" s="69" customFormat="1" ht="15.75"/>
    <row r="1123" s="69" customFormat="1" ht="15.75"/>
    <row r="1124" s="69" customFormat="1" ht="15.75"/>
    <row r="1125" s="69" customFormat="1" ht="15.75"/>
    <row r="1126" s="69" customFormat="1" ht="15.75"/>
    <row r="1127" s="69" customFormat="1" ht="15.75"/>
    <row r="1128" s="69" customFormat="1" ht="15.75"/>
    <row r="1129" s="69" customFormat="1" ht="15.75"/>
    <row r="1130" s="69" customFormat="1" ht="15.75"/>
    <row r="1131" s="69" customFormat="1" ht="15.75"/>
    <row r="1132" s="69" customFormat="1" ht="15.75"/>
    <row r="1133" s="69" customFormat="1" ht="15.75"/>
    <row r="1134" s="69" customFormat="1" ht="15.75"/>
    <row r="1135" s="69" customFormat="1" ht="15.75"/>
    <row r="1136" s="69" customFormat="1" ht="15.75"/>
    <row r="1137" s="69" customFormat="1" ht="15.75"/>
    <row r="1138" s="69" customFormat="1" ht="15.75"/>
    <row r="1139" s="69" customFormat="1" ht="15.75"/>
    <row r="1140" s="69" customFormat="1" ht="15.75"/>
    <row r="1141" s="69" customFormat="1" ht="15.75"/>
    <row r="1142" s="69" customFormat="1" ht="15.75"/>
    <row r="1143" s="69" customFormat="1" ht="15.75"/>
    <row r="1144" s="69" customFormat="1" ht="15.75"/>
    <row r="1145" s="69" customFormat="1" ht="15.75"/>
    <row r="1146" s="69" customFormat="1" ht="15.75"/>
    <row r="1147" s="69" customFormat="1" ht="15.75"/>
    <row r="1148" s="69" customFormat="1" ht="15.75"/>
    <row r="1149" s="69" customFormat="1" ht="15.75"/>
    <row r="1150" s="69" customFormat="1" ht="15.75"/>
    <row r="1151" s="69" customFormat="1" ht="15.75"/>
    <row r="1152" s="69" customFormat="1" ht="15.75"/>
    <row r="1153" s="69" customFormat="1" ht="15.75"/>
    <row r="1154" s="69" customFormat="1" ht="15.75"/>
    <row r="1155" s="69" customFormat="1" ht="15.75"/>
    <row r="1156" s="69" customFormat="1" ht="15.75"/>
    <row r="1157" s="69" customFormat="1" ht="15.75"/>
    <row r="1158" s="69" customFormat="1" ht="15.75"/>
    <row r="1159" s="69" customFormat="1" ht="15.75"/>
    <row r="1160" s="69" customFormat="1" ht="15.75"/>
    <row r="1161" s="69" customFormat="1" ht="15.75"/>
    <row r="1162" s="69" customFormat="1" ht="15.75"/>
    <row r="1163" s="69" customFormat="1" ht="15.75"/>
    <row r="1164" s="69" customFormat="1" ht="15.75"/>
    <row r="1165" s="69" customFormat="1" ht="15.75"/>
    <row r="1166" s="69" customFormat="1" ht="15.75"/>
    <row r="1167" s="69" customFormat="1" ht="15.75"/>
    <row r="1168" s="69" customFormat="1" ht="15.75"/>
    <row r="1169" s="69" customFormat="1" ht="15.75"/>
    <row r="1170" s="69" customFormat="1" ht="15.75"/>
    <row r="1171" s="69" customFormat="1" ht="15.75"/>
    <row r="1172" s="69" customFormat="1" ht="15.75"/>
    <row r="1173" s="69" customFormat="1" ht="15.75"/>
    <row r="1174" s="69" customFormat="1" ht="15.75"/>
    <row r="1175" s="69" customFormat="1" ht="15.75"/>
    <row r="1176" s="69" customFormat="1" ht="15.75"/>
    <row r="1177" s="69" customFormat="1" ht="15.75"/>
    <row r="1178" s="69" customFormat="1" ht="15.75"/>
    <row r="1179" s="69" customFormat="1" ht="15.75"/>
    <row r="1180" s="69" customFormat="1" ht="15.75"/>
    <row r="1181" s="69" customFormat="1" ht="15.75"/>
    <row r="1182" s="69" customFormat="1" ht="15.75"/>
    <row r="1183" s="69" customFormat="1" ht="15.75"/>
    <row r="1184" s="69" customFormat="1" ht="15.75"/>
    <row r="1185" s="69" customFormat="1" ht="15.75"/>
    <row r="1186" s="69" customFormat="1" ht="15.75"/>
    <row r="1187" s="69" customFormat="1" ht="15.75"/>
    <row r="1188" s="69" customFormat="1" ht="15.75"/>
    <row r="1189" s="69" customFormat="1" ht="15.75"/>
    <row r="1190" s="69" customFormat="1" ht="15.75"/>
    <row r="1191" s="69" customFormat="1" ht="15.75"/>
    <row r="1192" s="69" customFormat="1" ht="15.75"/>
    <row r="1193" s="69" customFormat="1" ht="15.75"/>
    <row r="1194" s="69" customFormat="1" ht="15.75"/>
    <row r="1195" s="69" customFormat="1" ht="15.75"/>
    <row r="1196" s="69" customFormat="1" ht="15.75"/>
    <row r="1197" s="69" customFormat="1" ht="15.75"/>
    <row r="1198" s="69" customFormat="1" ht="15.75"/>
    <row r="1199" s="69" customFormat="1" ht="15.75"/>
    <row r="1200" s="69" customFormat="1" ht="15.75"/>
    <row r="1201" s="69" customFormat="1" ht="15.75"/>
    <row r="1202" s="69" customFormat="1" ht="15.75"/>
    <row r="1203" s="69" customFormat="1" ht="15.75"/>
    <row r="1204" s="69" customFormat="1" ht="15.75"/>
    <row r="1205" s="69" customFormat="1" ht="15.75"/>
    <row r="1206" s="69" customFormat="1" ht="15.75"/>
    <row r="1207" s="69" customFormat="1" ht="15.75"/>
    <row r="1208" s="69" customFormat="1" ht="15.75"/>
    <row r="1209" s="69" customFormat="1" ht="15.75"/>
    <row r="1210" s="69" customFormat="1" ht="15.75"/>
    <row r="1211" s="69" customFormat="1" ht="15.75"/>
    <row r="1212" s="69" customFormat="1" ht="15.75"/>
    <row r="1213" s="69" customFormat="1" ht="15.75"/>
    <row r="1214" s="69" customFormat="1" ht="15.75"/>
    <row r="1215" s="69" customFormat="1" ht="15.75"/>
    <row r="1216" s="69" customFormat="1" ht="15.75"/>
    <row r="1217" s="69" customFormat="1" ht="15.75"/>
    <row r="1218" s="69" customFormat="1" ht="15.75"/>
    <row r="1219" s="69" customFormat="1" ht="15.75"/>
    <row r="1220" s="69" customFormat="1" ht="15.75"/>
    <row r="1221" s="69" customFormat="1" ht="15.75"/>
    <row r="1222" s="69" customFormat="1" ht="15.75"/>
    <row r="1223" s="69" customFormat="1" ht="15.75"/>
    <row r="1224" s="69" customFormat="1" ht="15.75"/>
    <row r="1225" s="69" customFormat="1" ht="15.75"/>
    <row r="1226" s="69" customFormat="1" ht="15.75"/>
    <row r="1227" s="69" customFormat="1" ht="15.75"/>
    <row r="1228" s="69" customFormat="1" ht="15.75"/>
    <row r="1229" s="69" customFormat="1" ht="15.75"/>
    <row r="1230" s="69" customFormat="1" ht="15.75"/>
    <row r="1231" s="69" customFormat="1" ht="15.75"/>
    <row r="1232" s="69" customFormat="1" ht="15.75"/>
    <row r="1233" s="69" customFormat="1" ht="15.75"/>
    <row r="1234" s="69" customFormat="1" ht="15.75"/>
    <row r="1235" s="69" customFormat="1" ht="15.75"/>
    <row r="1236" s="69" customFormat="1" ht="15.75"/>
    <row r="1237" s="69" customFormat="1" ht="15.75"/>
    <row r="1238" s="69" customFormat="1" ht="15.75"/>
    <row r="1239" s="69" customFormat="1" ht="15.75"/>
    <row r="1240" s="69" customFormat="1" ht="15.75"/>
    <row r="1241" s="69" customFormat="1" ht="15.75"/>
    <row r="1242" s="69" customFormat="1" ht="15.75"/>
    <row r="1243" s="69" customFormat="1" ht="15.75"/>
    <row r="1244" s="69" customFormat="1" ht="15.75"/>
    <row r="1245" s="69" customFormat="1" ht="15.75"/>
    <row r="1246" s="69" customFormat="1" ht="15.75"/>
    <row r="1247" s="69" customFormat="1" ht="15.75"/>
    <row r="1248" s="69" customFormat="1" ht="15.75"/>
    <row r="1249" s="69" customFormat="1" ht="15.75"/>
    <row r="1250" s="69" customFormat="1" ht="15.75"/>
    <row r="1251" s="69" customFormat="1" ht="15.75"/>
    <row r="1252" s="69" customFormat="1" ht="15.75"/>
    <row r="1253" s="69" customFormat="1" ht="15.75"/>
    <row r="1254" s="69" customFormat="1" ht="15.75"/>
    <row r="1255" s="69" customFormat="1" ht="15.75"/>
    <row r="1256" s="69" customFormat="1" ht="15.75"/>
    <row r="1257" s="69" customFormat="1" ht="15.75"/>
    <row r="1258" s="69" customFormat="1" ht="15.75"/>
    <row r="1259" s="69" customFormat="1" ht="15.75"/>
    <row r="1260" s="69" customFormat="1" ht="15.75"/>
    <row r="1261" s="69" customFormat="1" ht="15.75"/>
    <row r="1262" s="69" customFormat="1" ht="15.75"/>
    <row r="1263" s="69" customFormat="1" ht="15.75"/>
    <row r="1264" s="69" customFormat="1" ht="15.75"/>
    <row r="1265" s="69" customFormat="1" ht="15.75"/>
    <row r="1266" s="69" customFormat="1" ht="15.75"/>
    <row r="1267" s="69" customFormat="1" ht="15.75"/>
    <row r="1268" s="69" customFormat="1" ht="15.75"/>
    <row r="1269" s="69" customFormat="1" ht="15.75"/>
    <row r="1270" s="69" customFormat="1" ht="15.75"/>
    <row r="1271" s="69" customFormat="1" ht="15.75"/>
    <row r="1272" s="69" customFormat="1" ht="15.75"/>
    <row r="1273" s="69" customFormat="1" ht="15.75"/>
    <row r="1274" s="69" customFormat="1" ht="15.75"/>
    <row r="1275" s="69" customFormat="1" ht="15.75"/>
    <row r="1276" s="69" customFormat="1" ht="15.75"/>
    <row r="1277" s="69" customFormat="1" ht="15.75"/>
    <row r="1278" s="69" customFormat="1" ht="15.75"/>
    <row r="1279" s="69" customFormat="1" ht="15.75"/>
    <row r="1280" s="69" customFormat="1" ht="15.75"/>
    <row r="1281" s="69" customFormat="1" ht="15.75"/>
    <row r="1282" s="69" customFormat="1" ht="15.75"/>
    <row r="1283" s="69" customFormat="1" ht="15.75"/>
    <row r="1284" s="69" customFormat="1" ht="15.75"/>
    <row r="1285" s="69" customFormat="1" ht="15.75"/>
    <row r="1286" s="69" customFormat="1" ht="15.75"/>
    <row r="1287" s="69" customFormat="1" ht="15.75"/>
    <row r="1288" s="69" customFormat="1" ht="15.75"/>
    <row r="1289" s="69" customFormat="1" ht="15.75"/>
    <row r="1290" s="69" customFormat="1" ht="15.75"/>
    <row r="1291" s="69" customFormat="1" ht="15.75"/>
    <row r="1292" s="69" customFormat="1" ht="15.75"/>
    <row r="1293" s="69" customFormat="1" ht="15.75"/>
    <row r="1294" s="69" customFormat="1" ht="15.75"/>
    <row r="1295" s="69" customFormat="1" ht="15.75"/>
    <row r="1296" s="69" customFormat="1" ht="15.75"/>
    <row r="1297" s="69" customFormat="1" ht="15.75"/>
    <row r="1298" s="69" customFormat="1" ht="15.75"/>
    <row r="1299" s="69" customFormat="1" ht="15.75"/>
    <row r="1300" s="69" customFormat="1" ht="15.75"/>
    <row r="1301" s="69" customFormat="1" ht="15.75"/>
    <row r="1302" s="69" customFormat="1" ht="15.75"/>
    <row r="1303" s="69" customFormat="1" ht="15.75"/>
    <row r="1304" s="69" customFormat="1" ht="15.75"/>
    <row r="1305" s="69" customFormat="1" ht="15.75"/>
    <row r="1306" s="69" customFormat="1" ht="15.75"/>
    <row r="1307" s="69" customFormat="1" ht="15.75"/>
    <row r="1308" s="69" customFormat="1" ht="15.75"/>
    <row r="1309" s="69" customFormat="1" ht="15.75"/>
    <row r="1310" s="69" customFormat="1" ht="15.75"/>
    <row r="1311" s="69" customFormat="1" ht="15.75"/>
    <row r="1312" s="69" customFormat="1" ht="15.75"/>
    <row r="1313" s="69" customFormat="1" ht="15.75"/>
    <row r="1314" s="69" customFormat="1" ht="15.75"/>
    <row r="1315" s="69" customFormat="1" ht="15.75"/>
    <row r="1316" s="69" customFormat="1" ht="15.75"/>
    <row r="1317" s="69" customFormat="1" ht="15.75"/>
    <row r="1318" s="69" customFormat="1" ht="15.75"/>
    <row r="1319" s="69" customFormat="1" ht="15.75"/>
    <row r="1320" s="69" customFormat="1" ht="15.75"/>
    <row r="1321" s="69" customFormat="1" ht="15.75"/>
    <row r="1322" s="69" customFormat="1" ht="15.75"/>
    <row r="1323" s="69" customFormat="1" ht="15.75"/>
    <row r="1324" s="69" customFormat="1" ht="15.75"/>
    <row r="1325" s="69" customFormat="1" ht="15.75"/>
    <row r="1326" s="69" customFormat="1" ht="15.75"/>
    <row r="1327" s="69" customFormat="1" ht="15.75"/>
    <row r="1328" s="69" customFormat="1" ht="15.75"/>
    <row r="1329" s="69" customFormat="1" ht="15.75"/>
    <row r="1330" s="69" customFormat="1" ht="15.75"/>
    <row r="1331" s="69" customFormat="1" ht="15.75"/>
    <row r="1332" s="69" customFormat="1" ht="15.75"/>
    <row r="1333" s="69" customFormat="1" ht="15.75"/>
    <row r="1334" s="69" customFormat="1" ht="15.75"/>
    <row r="1335" s="69" customFormat="1" ht="15.75"/>
    <row r="1336" s="69" customFormat="1" ht="15.75"/>
    <row r="1337" s="69" customFormat="1" ht="15.75"/>
    <row r="1338" s="69" customFormat="1" ht="15.75"/>
    <row r="1339" s="69" customFormat="1" ht="15.75"/>
    <row r="1340" s="69" customFormat="1" ht="15.75"/>
    <row r="1341" s="69" customFormat="1" ht="15.75"/>
    <row r="1342" s="69" customFormat="1" ht="15.75"/>
    <row r="1343" s="69" customFormat="1" ht="15.75"/>
    <row r="1344" s="69" customFormat="1" ht="15.75"/>
    <row r="1345" s="69" customFormat="1" ht="15.75"/>
    <row r="1346" s="69" customFormat="1" ht="15.75"/>
    <row r="1347" s="69" customFormat="1" ht="15.75"/>
    <row r="1348" s="69" customFormat="1" ht="15.75"/>
    <row r="1349" s="69" customFormat="1" ht="15.75"/>
    <row r="1350" s="69" customFormat="1" ht="15.75"/>
    <row r="1351" s="69" customFormat="1" ht="15.75"/>
    <row r="1352" s="69" customFormat="1" ht="15.75"/>
    <row r="1353" s="69" customFormat="1" ht="15.75"/>
    <row r="1354" s="69" customFormat="1" ht="15.75"/>
    <row r="1355" s="69" customFormat="1" ht="15.75"/>
    <row r="1356" s="69" customFormat="1" ht="15.75"/>
    <row r="1357" s="69" customFormat="1" ht="15.75"/>
    <row r="1358" s="69" customFormat="1" ht="15.75"/>
    <row r="1359" s="69" customFormat="1" ht="15.75"/>
    <row r="1360" s="69" customFormat="1" ht="15.75"/>
    <row r="1361" s="69" customFormat="1" ht="15.75"/>
    <row r="1362" s="69" customFormat="1" ht="15.75"/>
    <row r="1363" s="69" customFormat="1" ht="15.75"/>
    <row r="1364" s="69" customFormat="1" ht="15.75"/>
    <row r="1365" s="69" customFormat="1" ht="15.75"/>
    <row r="1366" s="69" customFormat="1" ht="15.75"/>
    <row r="1367" s="69" customFormat="1" ht="15.75"/>
    <row r="1368" s="69" customFormat="1" ht="15.75"/>
    <row r="1369" s="69" customFormat="1" ht="15.75"/>
    <row r="1370" s="69" customFormat="1" ht="15.75"/>
    <row r="1371" s="69" customFormat="1" ht="15.75"/>
    <row r="1372" s="69" customFormat="1" ht="15.75"/>
    <row r="1373" s="69" customFormat="1" ht="15.75"/>
    <row r="1374" s="69" customFormat="1" ht="15.75"/>
    <row r="1375" s="69" customFormat="1" ht="15.75"/>
    <row r="1376" s="69" customFormat="1" ht="15.75"/>
    <row r="1377" s="69" customFormat="1" ht="15.75"/>
    <row r="1378" s="69" customFormat="1" ht="15.75"/>
    <row r="1379" s="69" customFormat="1" ht="15.75"/>
    <row r="1380" s="69" customFormat="1" ht="15.75"/>
    <row r="1381" s="69" customFormat="1" ht="15.75"/>
    <row r="1382" s="69" customFormat="1" ht="15.75"/>
    <row r="1383" s="69" customFormat="1" ht="15.75"/>
    <row r="1384" s="69" customFormat="1" ht="15.75"/>
    <row r="1385" s="69" customFormat="1" ht="15.75"/>
    <row r="1386" s="69" customFormat="1" ht="15.75"/>
    <row r="1387" s="69" customFormat="1" ht="15.75"/>
    <row r="1388" s="69" customFormat="1" ht="15.75"/>
    <row r="1389" s="69" customFormat="1" ht="15.75"/>
    <row r="1390" s="69" customFormat="1" ht="15.75"/>
    <row r="1391" s="69" customFormat="1" ht="15.75"/>
    <row r="1392" s="69" customFormat="1" ht="15.75"/>
    <row r="1393" s="69" customFormat="1" ht="15.75"/>
    <row r="1394" s="69" customFormat="1" ht="15.75"/>
    <row r="1395" s="69" customFormat="1" ht="15.75"/>
    <row r="1396" s="69" customFormat="1" ht="15.75"/>
    <row r="1397" s="69" customFormat="1" ht="15.75"/>
    <row r="1398" s="69" customFormat="1" ht="15.75"/>
    <row r="1399" s="69" customFormat="1" ht="15.75"/>
    <row r="1400" s="69" customFormat="1" ht="15.75"/>
    <row r="1401" s="69" customFormat="1" ht="15.75"/>
    <row r="1402" s="69" customFormat="1" ht="15.75"/>
    <row r="1403" s="69" customFormat="1" ht="15.75"/>
    <row r="1404" s="69" customFormat="1" ht="15.75"/>
    <row r="1405" s="69" customFormat="1" ht="15.75"/>
    <row r="1406" s="69" customFormat="1" ht="15.75"/>
    <row r="1407" s="69" customFormat="1" ht="15.75"/>
    <row r="1408" s="69" customFormat="1" ht="15.75"/>
    <row r="1409" s="69" customFormat="1" ht="15.75"/>
    <row r="1410" s="69" customFormat="1" ht="15.75"/>
    <row r="1411" s="69" customFormat="1" ht="15.75"/>
    <row r="1412" s="69" customFormat="1" ht="15.75"/>
    <row r="1413" s="69" customFormat="1" ht="15.75"/>
    <row r="1414" s="69" customFormat="1" ht="15.75"/>
    <row r="1415" s="69" customFormat="1" ht="15.75"/>
    <row r="1416" s="69" customFormat="1" ht="15.75"/>
    <row r="1417" s="69" customFormat="1" ht="15.75"/>
    <row r="1418" s="69" customFormat="1" ht="15.75"/>
    <row r="1419" s="69" customFormat="1" ht="15.75"/>
    <row r="1420" s="69" customFormat="1" ht="15.75"/>
    <row r="1421" s="69" customFormat="1" ht="15.75"/>
    <row r="1422" s="69" customFormat="1" ht="15.75"/>
    <row r="1423" s="69" customFormat="1" ht="15.75"/>
    <row r="1424" s="69" customFormat="1" ht="15.75"/>
    <row r="1425" s="69" customFormat="1" ht="15.75"/>
    <row r="1426" s="69" customFormat="1" ht="15.75"/>
    <row r="1427" s="69" customFormat="1" ht="15.75"/>
    <row r="1428" s="69" customFormat="1" ht="15.75"/>
    <row r="1429" s="69" customFormat="1" ht="15.75"/>
    <row r="1430" s="69" customFormat="1" ht="15.75"/>
    <row r="1431" s="69" customFormat="1" ht="15.75"/>
    <row r="1432" s="69" customFormat="1" ht="15.75"/>
    <row r="1433" s="69" customFormat="1" ht="15.75"/>
    <row r="1434" s="69" customFormat="1" ht="15.75"/>
    <row r="1435" s="69" customFormat="1" ht="15.75"/>
    <row r="1436" s="69" customFormat="1" ht="15.75"/>
    <row r="1437" s="69" customFormat="1" ht="15.75"/>
    <row r="1438" s="69" customFormat="1" ht="15.75"/>
    <row r="1439" s="69" customFormat="1" ht="15.75"/>
    <row r="1440" s="69" customFormat="1" ht="15.75"/>
    <row r="1441" s="69" customFormat="1" ht="15.75"/>
    <row r="1442" s="69" customFormat="1" ht="15.75"/>
    <row r="1443" s="69" customFormat="1" ht="15.75"/>
    <row r="1444" s="69" customFormat="1" ht="15.75"/>
    <row r="1445" s="69" customFormat="1" ht="15.75"/>
    <row r="1446" s="69" customFormat="1" ht="15.75"/>
    <row r="1447" s="69" customFormat="1" ht="15.75"/>
    <row r="1448" s="69" customFormat="1" ht="15.75"/>
    <row r="1449" s="69" customFormat="1" ht="15.75"/>
    <row r="1450" s="69" customFormat="1" ht="15.75"/>
    <row r="1451" s="69" customFormat="1" ht="15.75"/>
    <row r="1452" s="69" customFormat="1" ht="15.75"/>
    <row r="1453" s="69" customFormat="1" ht="15.75"/>
    <row r="1454" s="69" customFormat="1" ht="15.75"/>
    <row r="1455" s="69" customFormat="1" ht="15.75"/>
    <row r="1456" s="69" customFormat="1" ht="15.75"/>
    <row r="1457" s="69" customFormat="1" ht="15.75"/>
    <row r="1458" s="69" customFormat="1" ht="15.75"/>
    <row r="1459" s="69" customFormat="1" ht="15.75"/>
    <row r="1460" s="69" customFormat="1" ht="15.75"/>
    <row r="1461" s="69" customFormat="1" ht="15.75"/>
    <row r="1462" s="69" customFormat="1" ht="15.75"/>
    <row r="1463" s="69" customFormat="1" ht="15.75"/>
    <row r="1464" s="69" customFormat="1" ht="15.75"/>
    <row r="1465" s="69" customFormat="1" ht="15.75"/>
    <row r="1466" s="69" customFormat="1" ht="15.75"/>
    <row r="1467" s="69" customFormat="1" ht="15.75"/>
    <row r="1468" s="69" customFormat="1" ht="15.75"/>
    <row r="1469" s="69" customFormat="1" ht="15.75"/>
    <row r="1470" s="69" customFormat="1" ht="15.75"/>
    <row r="1471" s="69" customFormat="1" ht="15.75"/>
    <row r="1472" s="69" customFormat="1" ht="15.75"/>
    <row r="1473" s="69" customFormat="1" ht="15.75"/>
    <row r="1474" s="69" customFormat="1" ht="15.75"/>
    <row r="1475" s="69" customFormat="1" ht="15.75"/>
    <row r="1476" s="69" customFormat="1" ht="15.75"/>
    <row r="1477" s="69" customFormat="1" ht="15.75"/>
    <row r="1478" s="69" customFormat="1" ht="15.75"/>
    <row r="1479" s="69" customFormat="1" ht="15.75"/>
    <row r="1480" s="69" customFormat="1" ht="15.75"/>
    <row r="1481" s="69" customFormat="1" ht="15.75"/>
    <row r="1482" s="69" customFormat="1" ht="15.75"/>
    <row r="1483" s="69" customFormat="1" ht="15.75"/>
    <row r="1484" s="69" customFormat="1" ht="15.75"/>
    <row r="1485" s="69" customFormat="1" ht="15.75"/>
    <row r="1486" s="69" customFormat="1" ht="15.75"/>
    <row r="1487" s="69" customFormat="1" ht="15.75"/>
    <row r="1488" s="69" customFormat="1" ht="15.75"/>
    <row r="1489" s="69" customFormat="1" ht="15.75"/>
    <row r="1490" s="69" customFormat="1" ht="15.75"/>
    <row r="1491" s="69" customFormat="1" ht="15.75"/>
    <row r="1492" s="69" customFormat="1" ht="15.75"/>
    <row r="1493" s="69" customFormat="1" ht="15.75"/>
    <row r="1494" s="69" customFormat="1" ht="15.75"/>
    <row r="1495" s="69" customFormat="1" ht="15.75"/>
    <row r="1496" s="69" customFormat="1" ht="15.75"/>
    <row r="1497" s="69" customFormat="1" ht="15.75"/>
    <row r="1498" s="69" customFormat="1" ht="15.75"/>
    <row r="1499" s="69" customFormat="1" ht="15.75"/>
    <row r="1500" s="69" customFormat="1" ht="15.75"/>
    <row r="1501" s="69" customFormat="1" ht="15.75"/>
    <row r="1502" s="69" customFormat="1" ht="15.75"/>
    <row r="1503" s="69" customFormat="1" ht="15.75"/>
    <row r="1504" s="69" customFormat="1" ht="15.75"/>
    <row r="1505" s="69" customFormat="1" ht="15.75"/>
    <row r="1506" s="69" customFormat="1" ht="15.75"/>
    <row r="1507" s="69" customFormat="1" ht="15.75"/>
    <row r="1508" s="69" customFormat="1" ht="15.75"/>
    <row r="1509" s="69" customFormat="1" ht="15.75"/>
    <row r="1510" s="69" customFormat="1" ht="15.75"/>
    <row r="1511" s="69" customFormat="1" ht="15.75"/>
    <row r="1512" s="69" customFormat="1" ht="15.75"/>
    <row r="1513" s="69" customFormat="1" ht="15.75"/>
    <row r="1514" s="69" customFormat="1" ht="15.75"/>
    <row r="1515" s="69" customFormat="1" ht="15.75"/>
    <row r="1516" s="69" customFormat="1" ht="15.75"/>
    <row r="1517" s="69" customFormat="1" ht="15.75"/>
    <row r="1518" s="69" customFormat="1" ht="15.75"/>
    <row r="1519" s="69" customFormat="1" ht="15.75"/>
    <row r="1520" s="69" customFormat="1" ht="15.75"/>
    <row r="1521" s="69" customFormat="1" ht="15.75"/>
    <row r="1522" s="69" customFormat="1" ht="15.75"/>
    <row r="1523" s="69" customFormat="1" ht="15.75"/>
    <row r="1524" s="69" customFormat="1" ht="15.75"/>
    <row r="1525" s="69" customFormat="1" ht="15.75"/>
    <row r="1526" s="69" customFormat="1" ht="15.75"/>
    <row r="1527" s="69" customFormat="1" ht="15.75"/>
    <row r="1528" s="69" customFormat="1" ht="15.75"/>
    <row r="1529" s="69" customFormat="1" ht="15.75"/>
    <row r="1530" s="69" customFormat="1" ht="15.75"/>
    <row r="1531" s="69" customFormat="1" ht="15.75"/>
    <row r="1532" s="69" customFormat="1" ht="15.75"/>
    <row r="1533" s="69" customFormat="1" ht="15.75"/>
    <row r="1534" s="69" customFormat="1" ht="15.75"/>
    <row r="1535" s="69" customFormat="1" ht="15.75"/>
    <row r="1536" s="69" customFormat="1" ht="15.75"/>
    <row r="1537" s="69" customFormat="1" ht="15.75"/>
    <row r="1538" s="69" customFormat="1" ht="15.75"/>
    <row r="1539" s="69" customFormat="1" ht="15.75"/>
    <row r="1540" s="69" customFormat="1" ht="15.75"/>
    <row r="1541" s="69" customFormat="1" ht="15.75"/>
    <row r="1542" s="69" customFormat="1" ht="15.75"/>
    <row r="1543" s="69" customFormat="1" ht="15.75"/>
    <row r="1544" s="69" customFormat="1" ht="15.75"/>
    <row r="1545" s="69" customFormat="1" ht="15.75"/>
    <row r="1546" s="69" customFormat="1" ht="15.75"/>
    <row r="1547" s="69" customFormat="1" ht="15.75"/>
    <row r="1548" s="69" customFormat="1" ht="15.75"/>
    <row r="1549" s="69" customFormat="1" ht="15.75"/>
    <row r="1550" s="69" customFormat="1" ht="15.75"/>
    <row r="1551" s="69" customFormat="1" ht="15.75"/>
    <row r="1552" s="69" customFormat="1" ht="15.75"/>
    <row r="1553" s="69" customFormat="1" ht="15.75"/>
    <row r="1554" s="69" customFormat="1" ht="15.75"/>
    <row r="1555" s="69" customFormat="1" ht="15.75"/>
    <row r="1556" s="69" customFormat="1" ht="15.75"/>
    <row r="1557" s="69" customFormat="1" ht="15.75"/>
    <row r="1558" s="69" customFormat="1" ht="15.75"/>
    <row r="1559" s="69" customFormat="1" ht="15.75"/>
    <row r="1560" s="69" customFormat="1" ht="15.75"/>
    <row r="1561" s="69" customFormat="1" ht="15.75"/>
    <row r="1562" s="69" customFormat="1" ht="15.75"/>
    <row r="1563" s="69" customFormat="1" ht="15.75"/>
    <row r="1564" s="69" customFormat="1" ht="15.75"/>
    <row r="1565" s="69" customFormat="1" ht="15.75"/>
    <row r="1566" s="69" customFormat="1" ht="15.75"/>
    <row r="1567" s="69" customFormat="1" ht="15.75"/>
    <row r="1568" s="69" customFormat="1" ht="15.75"/>
    <row r="1569" s="69" customFormat="1" ht="15.75"/>
    <row r="1570" s="69" customFormat="1" ht="15.75"/>
    <row r="1571" s="69" customFormat="1" ht="15.75"/>
    <row r="1572" s="69" customFormat="1" ht="15.75"/>
    <row r="1573" s="69" customFormat="1" ht="15.75"/>
    <row r="1574" s="69" customFormat="1" ht="15.75"/>
    <row r="1575" s="69" customFormat="1" ht="15.75"/>
    <row r="1576" s="69" customFormat="1" ht="15.75"/>
    <row r="1577" s="69" customFormat="1" ht="15.75"/>
    <row r="1578" s="69" customFormat="1" ht="15.75"/>
    <row r="1579" s="69" customFormat="1" ht="15.75"/>
    <row r="1580" s="69" customFormat="1" ht="15.75"/>
    <row r="1581" s="69" customFormat="1" ht="15.75"/>
    <row r="1582" s="69" customFormat="1" ht="15.75"/>
    <row r="1583" s="69" customFormat="1" ht="15.75"/>
    <row r="1584" s="69" customFormat="1" ht="15.75"/>
    <row r="1585" s="69" customFormat="1" ht="15.75"/>
    <row r="1586" s="69" customFormat="1" ht="15.75"/>
    <row r="1587" s="69" customFormat="1" ht="15.75"/>
    <row r="1588" s="69" customFormat="1" ht="15.75"/>
    <row r="1589" s="69" customFormat="1" ht="15.75"/>
    <row r="1590" s="69" customFormat="1" ht="15.75"/>
    <row r="1591" s="69" customFormat="1" ht="15.75"/>
    <row r="1592" s="69" customFormat="1" ht="15.75"/>
    <row r="1593" s="69" customFormat="1" ht="15.75"/>
    <row r="1594" s="69" customFormat="1" ht="15.75"/>
    <row r="1595" s="69" customFormat="1" ht="15.75"/>
    <row r="1596" s="69" customFormat="1" ht="15.75"/>
    <row r="1597" s="69" customFormat="1" ht="15.75"/>
    <row r="1598" s="69" customFormat="1" ht="15.75"/>
    <row r="1599" s="69" customFormat="1" ht="15.75"/>
    <row r="1600" s="69" customFormat="1" ht="15.75"/>
    <row r="1601" s="69" customFormat="1" ht="15.75"/>
    <row r="1602" s="69" customFormat="1" ht="15.75"/>
    <row r="1603" s="69" customFormat="1" ht="15.75"/>
    <row r="1604" s="69" customFormat="1" ht="15.75"/>
    <row r="1605" s="69" customFormat="1" ht="15.75"/>
    <row r="1606" s="69" customFormat="1" ht="15.75"/>
    <row r="1607" s="69" customFormat="1" ht="15.75"/>
    <row r="1608" s="69" customFormat="1" ht="15.75"/>
    <row r="1609" s="69" customFormat="1" ht="15.75"/>
    <row r="1610" s="69" customFormat="1" ht="15.75"/>
    <row r="1611" s="69" customFormat="1" ht="15.75"/>
    <row r="1612" s="69" customFormat="1" ht="15.75"/>
    <row r="1613" s="69" customFormat="1" ht="15.75"/>
    <row r="1614" s="69" customFormat="1" ht="15.75"/>
    <row r="1615" s="69" customFormat="1" ht="15.75"/>
    <row r="1616" s="69" customFormat="1" ht="15.75"/>
    <row r="1617" s="69" customFormat="1" ht="15.75"/>
    <row r="1618" s="69" customFormat="1" ht="15.75"/>
    <row r="1619" s="69" customFormat="1" ht="15.75"/>
    <row r="1620" s="69" customFormat="1" ht="15.75"/>
    <row r="1621" s="69" customFormat="1" ht="15.75"/>
    <row r="1622" s="69" customFormat="1" ht="15.75"/>
    <row r="1623" s="69" customFormat="1" ht="15.75"/>
    <row r="1624" s="69" customFormat="1" ht="15.75"/>
    <row r="1625" s="69" customFormat="1" ht="15.75"/>
    <row r="1626" s="69" customFormat="1" ht="15.75"/>
    <row r="1627" s="69" customFormat="1" ht="15.75"/>
    <row r="1628" s="69" customFormat="1" ht="15.75"/>
    <row r="1629" s="69" customFormat="1" ht="15.75"/>
    <row r="1630" s="69" customFormat="1" ht="15.75"/>
    <row r="1631" s="69" customFormat="1" ht="15.75"/>
    <row r="1632" s="69" customFormat="1" ht="15.75"/>
    <row r="1633" s="69" customFormat="1" ht="15.75"/>
    <row r="1634" s="69" customFormat="1" ht="15.75"/>
    <row r="1635" s="69" customFormat="1" ht="15.75"/>
    <row r="1636" s="69" customFormat="1" ht="15.75"/>
    <row r="1637" s="69" customFormat="1" ht="15.75"/>
    <row r="1638" s="69" customFormat="1" ht="15.75"/>
    <row r="1639" s="69" customFormat="1" ht="15.75"/>
    <row r="1640" s="69" customFormat="1" ht="15.75"/>
    <row r="1641" s="69" customFormat="1" ht="15.75"/>
    <row r="1642" s="69" customFormat="1" ht="15.75"/>
    <row r="1643" s="69" customFormat="1" ht="15.75"/>
    <row r="1644" s="69" customFormat="1" ht="15.75"/>
    <row r="1645" s="69" customFormat="1" ht="15.75"/>
    <row r="1646" s="69" customFormat="1" ht="15.75"/>
    <row r="1647" s="69" customFormat="1" ht="15.75"/>
    <row r="1648" s="69" customFormat="1" ht="15.75"/>
    <row r="1649" s="69" customFormat="1" ht="15.75"/>
    <row r="1650" s="69" customFormat="1" ht="15.75"/>
    <row r="1651" s="69" customFormat="1" ht="15.75"/>
    <row r="1652" s="69" customFormat="1" ht="15.75"/>
    <row r="1653" s="69" customFormat="1" ht="15.75"/>
    <row r="1654" s="69" customFormat="1" ht="15.75"/>
    <row r="1655" s="69" customFormat="1" ht="15.75"/>
    <row r="1656" s="69" customFormat="1" ht="15.75"/>
    <row r="1657" s="69" customFormat="1" ht="15.75"/>
    <row r="1658" s="69" customFormat="1" ht="15.75"/>
    <row r="1659" s="69" customFormat="1" ht="15.75"/>
    <row r="1660" s="69" customFormat="1" ht="15.75"/>
    <row r="1661" s="69" customFormat="1" ht="15.75"/>
    <row r="1662" s="69" customFormat="1" ht="15.75"/>
    <row r="1663" s="69" customFormat="1" ht="15.75"/>
    <row r="1664" s="69" customFormat="1" ht="15.75"/>
    <row r="1665" s="69" customFormat="1" ht="15.75"/>
    <row r="1666" s="69" customFormat="1" ht="15.75"/>
    <row r="1667" s="69" customFormat="1" ht="15.75"/>
    <row r="1668" s="69" customFormat="1" ht="15.75"/>
    <row r="1669" s="69" customFormat="1" ht="15.75"/>
    <row r="1670" s="69" customFormat="1" ht="15.75"/>
    <row r="1671" s="69" customFormat="1" ht="15.75"/>
    <row r="1672" s="69" customFormat="1" ht="15.75"/>
    <row r="1673" s="69" customFormat="1" ht="15.75"/>
    <row r="1674" s="69" customFormat="1" ht="15.75"/>
    <row r="1675" s="69" customFormat="1" ht="15.75"/>
    <row r="1676" s="69" customFormat="1" ht="15.75"/>
    <row r="1677" s="69" customFormat="1" ht="15.75"/>
    <row r="1678" s="69" customFormat="1" ht="15.75"/>
    <row r="1679" s="69" customFormat="1" ht="15.75"/>
    <row r="1680" s="69" customFormat="1" ht="15.75"/>
    <row r="1681" s="69" customFormat="1" ht="15.75"/>
    <row r="1682" s="69" customFormat="1" ht="15.75"/>
    <row r="1683" s="69" customFormat="1" ht="15.75"/>
    <row r="1684" s="69" customFormat="1" ht="15.75"/>
    <row r="1685" s="69" customFormat="1" ht="15.75"/>
    <row r="1686" s="69" customFormat="1" ht="15.75"/>
    <row r="1687" s="69" customFormat="1" ht="15.75"/>
    <row r="1688" s="69" customFormat="1" ht="15.75"/>
    <row r="1689" s="69" customFormat="1" ht="15.75"/>
    <row r="1690" s="69" customFormat="1" ht="15.75"/>
    <row r="1691" s="69" customFormat="1" ht="15.75"/>
    <row r="1692" s="69" customFormat="1" ht="15.75"/>
    <row r="1693" s="69" customFormat="1" ht="15.75"/>
    <row r="1694" s="69" customFormat="1" ht="15.75"/>
    <row r="1695" s="69" customFormat="1" ht="15.75"/>
    <row r="1696" s="69" customFormat="1" ht="15.75"/>
    <row r="1697" s="69" customFormat="1" ht="15.75"/>
    <row r="1698" s="69" customFormat="1" ht="15.75"/>
    <row r="1699" s="69" customFormat="1" ht="15.75"/>
    <row r="1700" s="69" customFormat="1" ht="15.75"/>
    <row r="1701" s="69" customFormat="1" ht="15.75"/>
    <row r="1702" s="69" customFormat="1" ht="15.75"/>
    <row r="1703" s="69" customFormat="1" ht="15.75"/>
    <row r="1704" s="69" customFormat="1" ht="15.75"/>
    <row r="1705" s="69" customFormat="1" ht="15.75"/>
    <row r="1706" s="69" customFormat="1" ht="15.75"/>
    <row r="1707" s="69" customFormat="1" ht="15.75"/>
    <row r="1708" s="69" customFormat="1" ht="15.75"/>
    <row r="1709" s="69" customFormat="1" ht="15.75"/>
    <row r="1710" s="69" customFormat="1" ht="15.75"/>
    <row r="1711" s="69" customFormat="1" ht="15.75"/>
    <row r="1712" s="69" customFormat="1" ht="15.75"/>
    <row r="1713" s="69" customFormat="1" ht="15.75"/>
    <row r="1714" s="69" customFormat="1" ht="15.75"/>
    <row r="1715" s="69" customFormat="1" ht="15.75"/>
    <row r="1716" s="69" customFormat="1" ht="15.75"/>
    <row r="1717" s="69" customFormat="1" ht="15.75"/>
    <row r="1718" s="69" customFormat="1" ht="15.75"/>
    <row r="1719" s="69" customFormat="1" ht="15.75"/>
    <row r="1720" s="69" customFormat="1" ht="15.75"/>
    <row r="1721" s="69" customFormat="1" ht="15.75"/>
    <row r="1722" s="69" customFormat="1" ht="15.75"/>
    <row r="1723" s="69" customFormat="1" ht="15.75"/>
    <row r="1724" s="69" customFormat="1" ht="15.75"/>
    <row r="1725" s="69" customFormat="1" ht="15.75"/>
    <row r="1726" s="69" customFormat="1" ht="15.75"/>
    <row r="1727" s="69" customFormat="1" ht="15.75"/>
    <row r="1728" s="69" customFormat="1" ht="15.75"/>
    <row r="1729" s="69" customFormat="1" ht="15.75"/>
    <row r="1730" s="69" customFormat="1" ht="15.75"/>
    <row r="1731" s="69" customFormat="1" ht="15.75"/>
    <row r="1732" s="69" customFormat="1" ht="15.75"/>
    <row r="1733" s="69" customFormat="1" ht="15.75"/>
    <row r="1734" s="69" customFormat="1" ht="15.75"/>
    <row r="1735" s="69" customFormat="1" ht="15.75"/>
    <row r="1736" s="69" customFormat="1" ht="15.75"/>
    <row r="1737" s="69" customFormat="1" ht="15.75"/>
    <row r="1738" s="69" customFormat="1" ht="15.75"/>
    <row r="1739" s="69" customFormat="1" ht="15.75"/>
    <row r="1740" s="69" customFormat="1" ht="15.75"/>
    <row r="1741" s="69" customFormat="1" ht="15.75"/>
    <row r="1742" s="69" customFormat="1" ht="15.75"/>
    <row r="1743" s="69" customFormat="1" ht="15.75"/>
    <row r="1744" s="69" customFormat="1" ht="15.75"/>
    <row r="1745" s="69" customFormat="1" ht="15.75"/>
    <row r="1746" s="69" customFormat="1" ht="15.75"/>
    <row r="1747" s="69" customFormat="1" ht="15.75"/>
    <row r="1748" s="69" customFormat="1" ht="15.75"/>
    <row r="1749" s="69" customFormat="1" ht="15.75"/>
    <row r="1750" s="69" customFormat="1" ht="15.75"/>
    <row r="1751" s="69" customFormat="1" ht="15.75"/>
    <row r="1752" s="69" customFormat="1" ht="15.75"/>
    <row r="1753" s="69" customFormat="1" ht="15.75"/>
    <row r="1754" s="69" customFormat="1" ht="15.75"/>
    <row r="1755" s="69" customFormat="1" ht="15.75"/>
    <row r="1756" s="69" customFormat="1" ht="15.75"/>
    <row r="1757" s="69" customFormat="1" ht="15.75"/>
    <row r="1758" s="69" customFormat="1" ht="15.75"/>
    <row r="1759" s="69" customFormat="1" ht="15.75"/>
    <row r="1760" s="69" customFormat="1" ht="15.75"/>
    <row r="1761" s="69" customFormat="1" ht="15.75"/>
    <row r="1762" s="69" customFormat="1" ht="15.75"/>
    <row r="1763" s="69" customFormat="1" ht="15.75"/>
    <row r="1764" s="69" customFormat="1" ht="15.75"/>
    <row r="1765" s="69" customFormat="1" ht="15.75"/>
    <row r="1766" s="69" customFormat="1" ht="15.75"/>
    <row r="1767" s="69" customFormat="1" ht="15.75"/>
    <row r="1768" s="69" customFormat="1" ht="15.75"/>
    <row r="1769" s="69" customFormat="1" ht="15.75"/>
    <row r="1770" s="69" customFormat="1" ht="15.75"/>
    <row r="1771" s="69" customFormat="1" ht="15.75"/>
    <row r="1772" s="69" customFormat="1" ht="15.75"/>
    <row r="1773" s="69" customFormat="1" ht="15.75"/>
    <row r="1774" s="69" customFormat="1" ht="15.75"/>
    <row r="1775" s="69" customFormat="1" ht="15.75"/>
    <row r="1776" s="69" customFormat="1" ht="15.75"/>
    <row r="1777" s="69" customFormat="1" ht="15.75"/>
    <row r="1778" s="69" customFormat="1" ht="15.75"/>
    <row r="1779" s="69" customFormat="1" ht="15.75"/>
    <row r="1780" s="69" customFormat="1" ht="15.75"/>
    <row r="1781" s="69" customFormat="1" ht="15.75"/>
    <row r="1782" s="69" customFormat="1" ht="15.75"/>
    <row r="1783" s="69" customFormat="1" ht="15.75"/>
    <row r="1784" s="69" customFormat="1" ht="15.75"/>
    <row r="1785" s="69" customFormat="1" ht="15.75"/>
    <row r="1786" s="69" customFormat="1" ht="15.75"/>
    <row r="1787" s="69" customFormat="1" ht="15.75"/>
    <row r="1788" s="69" customFormat="1" ht="15.75"/>
    <row r="1789" s="69" customFormat="1" ht="15.75"/>
    <row r="1790" s="69" customFormat="1" ht="15.75"/>
    <row r="1791" s="69" customFormat="1" ht="15.75"/>
    <row r="1792" s="69" customFormat="1" ht="15.75"/>
    <row r="1793" s="69" customFormat="1" ht="15.75"/>
    <row r="1794" s="69" customFormat="1" ht="15.75"/>
    <row r="1795" s="69" customFormat="1" ht="15.75"/>
    <row r="1796" s="69" customFormat="1" ht="15.75"/>
    <row r="1797" s="69" customFormat="1" ht="15.75"/>
    <row r="1798" s="69" customFormat="1" ht="15.75"/>
    <row r="1799" s="69" customFormat="1" ht="15.75"/>
    <row r="1800" s="69" customFormat="1" ht="15.75"/>
    <row r="1801" s="69" customFormat="1" ht="15.75"/>
    <row r="1802" s="69" customFormat="1" ht="15.75"/>
    <row r="1803" s="69" customFormat="1" ht="15.75"/>
    <row r="1804" s="69" customFormat="1" ht="15.75"/>
    <row r="1805" s="69" customFormat="1" ht="15.75"/>
    <row r="1806" s="69" customFormat="1" ht="15.75"/>
    <row r="1807" s="69" customFormat="1" ht="15.75"/>
    <row r="1808" s="69" customFormat="1" ht="15.75"/>
    <row r="1809" s="69" customFormat="1" ht="15.75"/>
    <row r="1810" s="69" customFormat="1" ht="15.75"/>
    <row r="1811" s="69" customFormat="1" ht="15.75"/>
    <row r="1812" s="69" customFormat="1" ht="15.75"/>
    <row r="1813" s="69" customFormat="1" ht="15.75"/>
    <row r="1814" s="69" customFormat="1" ht="15.75"/>
    <row r="1815" s="69" customFormat="1" ht="15.75"/>
    <row r="1816" s="69" customFormat="1" ht="15.75"/>
    <row r="1817" s="69" customFormat="1" ht="15.75"/>
    <row r="1818" s="69" customFormat="1" ht="15.75"/>
    <row r="1819" s="69" customFormat="1" ht="15.75"/>
    <row r="1820" s="69" customFormat="1" ht="15.75"/>
    <row r="1821" s="69" customFormat="1" ht="15.75"/>
    <row r="1822" s="69" customFormat="1" ht="15.75"/>
    <row r="1823" s="69" customFormat="1" ht="15.75"/>
    <row r="1824" s="69" customFormat="1" ht="15.75"/>
    <row r="1825" s="69" customFormat="1" ht="15.75"/>
    <row r="1826" s="69" customFormat="1" ht="15.75"/>
    <row r="1827" s="69" customFormat="1" ht="15.75"/>
    <row r="1828" s="69" customFormat="1" ht="15.75"/>
    <row r="1829" s="69" customFormat="1" ht="15.75"/>
    <row r="1830" s="69" customFormat="1" ht="15.75"/>
    <row r="1831" s="69" customFormat="1" ht="15.75"/>
    <row r="1832" s="69" customFormat="1" ht="15.75"/>
    <row r="1833" s="69" customFormat="1" ht="15.75"/>
    <row r="1834" s="69" customFormat="1" ht="15.75"/>
    <row r="1835" s="69" customFormat="1" ht="15.75"/>
    <row r="1836" s="69" customFormat="1" ht="15.75"/>
    <row r="1837" s="69" customFormat="1" ht="15.75"/>
    <row r="1838" s="69" customFormat="1" ht="15.75"/>
    <row r="1839" s="69" customFormat="1" ht="15.75"/>
    <row r="1840" s="69" customFormat="1" ht="15.75"/>
    <row r="1841" s="69" customFormat="1" ht="15.75"/>
    <row r="1842" s="69" customFormat="1" ht="15.75"/>
    <row r="1843" s="69" customFormat="1" ht="15.75"/>
    <row r="1844" s="69" customFormat="1" ht="15.75"/>
    <row r="1845" s="69" customFormat="1" ht="15.75"/>
    <row r="1846" s="69" customFormat="1" ht="15.75"/>
    <row r="1847" s="69" customFormat="1" ht="15.75"/>
    <row r="1848" s="69" customFormat="1" ht="15.75"/>
    <row r="1849" s="69" customFormat="1" ht="15.75"/>
    <row r="1850" s="69" customFormat="1" ht="15.75"/>
    <row r="1851" s="69" customFormat="1" ht="15.75"/>
    <row r="1852" s="69" customFormat="1" ht="15.75"/>
    <row r="1853" s="69" customFormat="1" ht="15.75"/>
    <row r="1854" s="69" customFormat="1" ht="15.75"/>
    <row r="1855" s="69" customFormat="1" ht="15.75"/>
    <row r="1856" s="69" customFormat="1" ht="15.75"/>
    <row r="1857" s="69" customFormat="1" ht="15.75"/>
    <row r="1858" s="69" customFormat="1" ht="15.75"/>
    <row r="1859" s="69" customFormat="1" ht="15.75"/>
    <row r="1860" s="69" customFormat="1" ht="15.75"/>
    <row r="1861" s="69" customFormat="1" ht="15.75"/>
    <row r="1862" s="69" customFormat="1" ht="15.75"/>
    <row r="1863" s="69" customFormat="1" ht="15.75"/>
    <row r="1864" s="69" customFormat="1" ht="15.75"/>
    <row r="1865" s="69" customFormat="1" ht="15.75"/>
    <row r="1866" s="69" customFormat="1" ht="15.75"/>
    <row r="1867" s="69" customFormat="1" ht="15.75"/>
    <row r="1868" s="69" customFormat="1" ht="15.75"/>
    <row r="1869" s="69" customFormat="1" ht="15.75"/>
    <row r="1870" s="69" customFormat="1" ht="15.75"/>
    <row r="1871" s="69" customFormat="1" ht="15.75"/>
    <row r="1872" s="69" customFormat="1" ht="15.75"/>
    <row r="1873" s="69" customFormat="1" ht="15.75"/>
    <row r="1874" s="69" customFormat="1" ht="15.75"/>
    <row r="1875" s="69" customFormat="1" ht="15.75"/>
    <row r="1876" s="69" customFormat="1" ht="15.75"/>
    <row r="1877" s="69" customFormat="1" ht="15.75"/>
    <row r="1878" s="69" customFormat="1" ht="15.75"/>
    <row r="1879" s="69" customFormat="1" ht="15.75"/>
    <row r="1880" s="69" customFormat="1" ht="15.75"/>
    <row r="1881" s="69" customFormat="1" ht="15.75"/>
    <row r="1882" s="69" customFormat="1" ht="15.75"/>
    <row r="1883" s="69" customFormat="1" ht="15.75"/>
    <row r="1884" s="69" customFormat="1" ht="15.75"/>
    <row r="1885" s="69" customFormat="1" ht="15.75"/>
    <row r="1886" s="69" customFormat="1" ht="15.75"/>
    <row r="1887" s="69" customFormat="1" ht="15.75"/>
    <row r="1888" s="69" customFormat="1" ht="15.75"/>
    <row r="1889" s="69" customFormat="1" ht="15.75"/>
    <row r="1890" s="69" customFormat="1" ht="15.75"/>
    <row r="1891" s="69" customFormat="1" ht="15.75"/>
    <row r="1892" s="69" customFormat="1" ht="15.75"/>
    <row r="1893" s="69" customFormat="1" ht="15.75"/>
    <row r="1894" s="69" customFormat="1" ht="15.75"/>
    <row r="1895" s="69" customFormat="1" ht="15.75"/>
    <row r="1896" s="69" customFormat="1" ht="15.75"/>
    <row r="1897" s="69" customFormat="1" ht="15.75"/>
    <row r="1898" s="69" customFormat="1" ht="15.75"/>
    <row r="1899" s="69" customFormat="1" ht="15.75"/>
    <row r="1900" s="69" customFormat="1" ht="15.75"/>
    <row r="1901" s="69" customFormat="1" ht="15.75"/>
    <row r="1902" s="69" customFormat="1" ht="15.75"/>
    <row r="1903" s="69" customFormat="1" ht="15.75"/>
    <row r="1904" s="69" customFormat="1" ht="15.75"/>
    <row r="1905" s="69" customFormat="1" ht="15.75"/>
    <row r="1906" s="69" customFormat="1" ht="15.75"/>
    <row r="1907" s="69" customFormat="1" ht="15.75"/>
    <row r="1908" s="69" customFormat="1" ht="15.75"/>
    <row r="1909" s="69" customFormat="1" ht="15.75"/>
    <row r="1910" s="69" customFormat="1" ht="15.75"/>
    <row r="1911" s="69" customFormat="1" ht="15.75"/>
    <row r="1912" s="69" customFormat="1" ht="15.75"/>
    <row r="1913" s="69" customFormat="1" ht="15.75"/>
    <row r="1914" s="69" customFormat="1" ht="15.75"/>
    <row r="1915" s="69" customFormat="1" ht="15.75"/>
    <row r="1916" s="69" customFormat="1" ht="15.75"/>
    <row r="1917" s="69" customFormat="1" ht="15.75"/>
    <row r="1918" s="69" customFormat="1" ht="15.75"/>
    <row r="1919" s="69" customFormat="1" ht="15.75"/>
    <row r="1920" s="69" customFormat="1" ht="15.75"/>
    <row r="1921" s="69" customFormat="1" ht="15.75"/>
    <row r="1922" s="69" customFormat="1" ht="15.75"/>
    <row r="1923" s="69" customFormat="1" ht="15.75"/>
    <row r="1924" s="69" customFormat="1" ht="15.75"/>
    <row r="1925" s="69" customFormat="1" ht="15.75"/>
    <row r="1926" s="69" customFormat="1" ht="15.75"/>
    <row r="1927" s="69" customFormat="1" ht="15.75"/>
    <row r="1928" s="69" customFormat="1" ht="15.75"/>
    <row r="1929" s="69" customFormat="1" ht="15.75"/>
    <row r="1930" s="69" customFormat="1" ht="15.75"/>
    <row r="1931" s="69" customFormat="1" ht="15.75"/>
    <row r="1932" s="69" customFormat="1" ht="15.75"/>
    <row r="1933" s="69" customFormat="1" ht="15.75"/>
    <row r="1934" s="69" customFormat="1" ht="15.75"/>
    <row r="1935" s="69" customFormat="1" ht="15.75"/>
    <row r="1936" s="69" customFormat="1" ht="15.75"/>
    <row r="1937" s="69" customFormat="1" ht="15.75"/>
    <row r="1938" s="69" customFormat="1" ht="15.75"/>
    <row r="1939" s="69" customFormat="1" ht="15.75"/>
    <row r="1940" s="69" customFormat="1" ht="15.75"/>
    <row r="1941" s="69" customFormat="1" ht="15.75"/>
    <row r="1942" s="69" customFormat="1" ht="15.75"/>
    <row r="1943" s="69" customFormat="1" ht="15.75"/>
    <row r="1944" s="69" customFormat="1" ht="15.75"/>
    <row r="1945" s="69" customFormat="1" ht="15.75"/>
    <row r="1946" s="69" customFormat="1" ht="15.75"/>
    <row r="1947" s="69" customFormat="1" ht="15.75"/>
    <row r="1948" s="69" customFormat="1" ht="15.75"/>
    <row r="1949" s="69" customFormat="1" ht="15.75"/>
    <row r="1950" s="69" customFormat="1" ht="15.75"/>
    <row r="1951" s="69" customFormat="1" ht="15.75"/>
    <row r="1952" s="69" customFormat="1" ht="15.75"/>
    <row r="1953" s="69" customFormat="1" ht="15.75"/>
    <row r="1954" s="69" customFormat="1" ht="15.75"/>
    <row r="1955" s="69" customFormat="1" ht="15.75"/>
    <row r="1956" s="69" customFormat="1" ht="15.75"/>
    <row r="1957" s="69" customFormat="1" ht="15.75"/>
    <row r="1958" s="69" customFormat="1" ht="15.75"/>
    <row r="1959" s="69" customFormat="1" ht="15.75"/>
    <row r="1960" s="69" customFormat="1" ht="15.75"/>
    <row r="1961" s="69" customFormat="1" ht="15.75"/>
    <row r="1962" s="69" customFormat="1" ht="15.75"/>
    <row r="1963" s="69" customFormat="1" ht="15.75"/>
    <row r="1964" s="69" customFormat="1" ht="15.75"/>
    <row r="1965" s="69" customFormat="1" ht="15.75"/>
    <row r="1966" s="69" customFormat="1" ht="15.75"/>
    <row r="1967" s="69" customFormat="1" ht="15.75"/>
    <row r="1968" s="69" customFormat="1" ht="15.75"/>
    <row r="1969" s="69" customFormat="1" ht="15.75"/>
    <row r="1970" s="69" customFormat="1" ht="15.75"/>
    <row r="1971" s="69" customFormat="1" ht="15.75"/>
    <row r="1972" s="69" customFormat="1" ht="15.75"/>
    <row r="1973" s="69" customFormat="1" ht="15.75"/>
    <row r="1974" s="69" customFormat="1" ht="15.75"/>
    <row r="1975" s="69" customFormat="1" ht="15.75"/>
    <row r="1976" s="69" customFormat="1" ht="15.75"/>
    <row r="1977" s="69" customFormat="1" ht="15.75"/>
    <row r="1978" s="69" customFormat="1" ht="15.75"/>
    <row r="1979" s="69" customFormat="1" ht="15.75"/>
    <row r="1980" s="69" customFormat="1" ht="15.75"/>
    <row r="1981" s="69" customFormat="1" ht="15.75"/>
    <row r="1982" s="69" customFormat="1" ht="15.75"/>
    <row r="1983" s="69" customFormat="1" ht="15.75"/>
    <row r="1984" s="69" customFormat="1" ht="15.75"/>
    <row r="1985" s="69" customFormat="1" ht="15.75"/>
    <row r="1986" s="69" customFormat="1" ht="15.75"/>
    <row r="1987" s="69" customFormat="1" ht="15.75"/>
    <row r="1988" s="69" customFormat="1" ht="15.75"/>
    <row r="1989" s="69" customFormat="1" ht="15.75"/>
    <row r="1990" s="69" customFormat="1" ht="15.75"/>
    <row r="1991" s="69" customFormat="1" ht="15.75"/>
    <row r="1992" s="69" customFormat="1" ht="15.75"/>
    <row r="1993" s="69" customFormat="1" ht="15.75"/>
    <row r="1994" s="69" customFormat="1" ht="15.75"/>
    <row r="1995" s="69" customFormat="1" ht="15.75"/>
    <row r="1996" s="69" customFormat="1" ht="15.75"/>
    <row r="1997" s="69" customFormat="1" ht="15.75"/>
    <row r="1998" s="69" customFormat="1" ht="15.75"/>
    <row r="1999" s="69" customFormat="1" ht="15.75"/>
    <row r="2000" s="69" customFormat="1" ht="15.75"/>
    <row r="2001" s="69" customFormat="1" ht="15.75"/>
    <row r="2002" s="69" customFormat="1" ht="15.75"/>
    <row r="2003" s="69" customFormat="1" ht="15.75"/>
    <row r="2004" s="69" customFormat="1" ht="15.75"/>
    <row r="2005" s="69" customFormat="1" ht="15.75"/>
    <row r="2006" s="69" customFormat="1" ht="15.75"/>
    <row r="2007" s="69" customFormat="1" ht="15.75"/>
    <row r="2008" s="69" customFormat="1" ht="15.75"/>
    <row r="2009" s="69" customFormat="1" ht="15.75"/>
    <row r="2010" s="69" customFormat="1" ht="15.75"/>
    <row r="2011" s="69" customFormat="1" ht="15.75"/>
    <row r="2012" s="69" customFormat="1" ht="15.75"/>
    <row r="2013" s="69" customFormat="1" ht="15.75"/>
    <row r="2014" s="69" customFormat="1" ht="15.75"/>
    <row r="2015" s="69" customFormat="1" ht="15.75"/>
    <row r="2016" s="69" customFormat="1" ht="15.75"/>
    <row r="2017" s="69" customFormat="1" ht="15.75"/>
    <row r="2018" s="69" customFormat="1" ht="15.75"/>
    <row r="2019" s="69" customFormat="1" ht="15.75"/>
    <row r="2020" s="69" customFormat="1" ht="15.75"/>
    <row r="2021" s="69" customFormat="1" ht="15.75"/>
    <row r="2022" s="69" customFormat="1" ht="15.75"/>
    <row r="2023" s="69" customFormat="1" ht="15.75"/>
    <row r="2024" s="69" customFormat="1" ht="15.75"/>
    <row r="2025" s="69" customFormat="1" ht="15.75"/>
    <row r="2026" s="69" customFormat="1" ht="15.75"/>
    <row r="2027" s="69" customFormat="1" ht="15.75"/>
    <row r="2028" s="69" customFormat="1" ht="15.75"/>
    <row r="2029" s="69" customFormat="1" ht="15.75"/>
    <row r="2030" s="69" customFormat="1" ht="15.75"/>
    <row r="2031" s="69" customFormat="1" ht="15.75"/>
    <row r="2032" s="69" customFormat="1" ht="15.75"/>
    <row r="2033" s="69" customFormat="1" ht="15.75"/>
    <row r="2034" s="69" customFormat="1" ht="15.75"/>
    <row r="2035" s="69" customFormat="1" ht="15.75"/>
    <row r="2036" s="69" customFormat="1" ht="15.75"/>
    <row r="2037" s="69" customFormat="1" ht="15.75"/>
    <row r="2038" s="69" customFormat="1" ht="15.75"/>
    <row r="2039" s="69" customFormat="1" ht="15.75"/>
    <row r="2040" s="69" customFormat="1" ht="15.75"/>
    <row r="2041" s="69" customFormat="1" ht="15.75"/>
    <row r="2042" s="69" customFormat="1" ht="15.75"/>
    <row r="2043" s="69" customFormat="1" ht="15.75"/>
    <row r="2044" s="69" customFormat="1" ht="15.75"/>
    <row r="2045" s="69" customFormat="1" ht="15.75"/>
    <row r="2046" s="69" customFormat="1" ht="15.75"/>
    <row r="2047" s="69" customFormat="1" ht="15.75"/>
    <row r="2048" s="69" customFormat="1" ht="15.75"/>
    <row r="2049" s="69" customFormat="1" ht="15.75"/>
    <row r="2050" s="69" customFormat="1" ht="15.75"/>
    <row r="2051" s="69" customFormat="1" ht="15.75"/>
    <row r="2052" s="69" customFormat="1" ht="15.75"/>
    <row r="2053" s="69" customFormat="1" ht="15.75"/>
    <row r="2054" s="69" customFormat="1" ht="15.75"/>
    <row r="2055" s="69" customFormat="1" ht="15.75"/>
    <row r="2056" s="69" customFormat="1" ht="15.75"/>
    <row r="2057" s="69" customFormat="1" ht="15.75"/>
    <row r="2058" s="69" customFormat="1" ht="15.75"/>
    <row r="2059" s="69" customFormat="1" ht="15.75"/>
    <row r="2060" s="69" customFormat="1" ht="15.75"/>
    <row r="2061" s="69" customFormat="1" ht="15.75"/>
    <row r="2062" s="69" customFormat="1" ht="15.75"/>
    <row r="2063" s="69" customFormat="1" ht="15.75"/>
    <row r="2064" s="69" customFormat="1" ht="15.75"/>
    <row r="2065" s="69" customFormat="1" ht="15.75"/>
    <row r="2066" s="69" customFormat="1" ht="15.75"/>
    <row r="2067" s="69" customFormat="1" ht="15.75"/>
    <row r="2068" s="69" customFormat="1" ht="15.75"/>
    <row r="2069" s="69" customFormat="1" ht="15.75"/>
    <row r="2070" s="69" customFormat="1" ht="15.75"/>
    <row r="2071" s="69" customFormat="1" ht="15.75"/>
    <row r="2072" s="69" customFormat="1" ht="15.75"/>
    <row r="2073" s="69" customFormat="1" ht="15.75"/>
    <row r="2074" s="69" customFormat="1" ht="15.75"/>
    <row r="2075" s="69" customFormat="1" ht="15.75"/>
    <row r="2076" s="69" customFormat="1" ht="15.75"/>
    <row r="2077" s="69" customFormat="1" ht="15.75"/>
    <row r="2078" s="69" customFormat="1" ht="15.75"/>
    <row r="2079" s="69" customFormat="1" ht="15.75"/>
    <row r="2080" s="69" customFormat="1" ht="15.75"/>
    <row r="2081" s="69" customFormat="1" ht="15.75"/>
    <row r="2082" s="69" customFormat="1" ht="15.75"/>
    <row r="2083" s="69" customFormat="1" ht="15.75"/>
    <row r="2084" s="69" customFormat="1" ht="15.75"/>
    <row r="2085" s="69" customFormat="1" ht="15.75"/>
    <row r="2086" s="69" customFormat="1" ht="15.75"/>
    <row r="2087" s="69" customFormat="1" ht="15.75"/>
    <row r="2088" s="69" customFormat="1" ht="15.75"/>
    <row r="2089" s="69" customFormat="1" ht="15.75"/>
    <row r="2090" s="69" customFormat="1" ht="15.75"/>
    <row r="2091" s="69" customFormat="1" ht="15.75"/>
    <row r="2092" s="69" customFormat="1" ht="15.75"/>
    <row r="2093" s="69" customFormat="1" ht="15.75"/>
    <row r="2094" s="69" customFormat="1" ht="15.75"/>
    <row r="2095" s="69" customFormat="1" ht="15.75"/>
    <row r="2096" s="69" customFormat="1" ht="15.75"/>
    <row r="2097" s="69" customFormat="1" ht="15.75"/>
    <row r="2098" s="69" customFormat="1" ht="15.75"/>
    <row r="2099" s="69" customFormat="1" ht="15.75"/>
    <row r="2100" s="69" customFormat="1" ht="15.75"/>
    <row r="2101" s="69" customFormat="1" ht="15.75"/>
    <row r="2102" s="69" customFormat="1" ht="15.75"/>
    <row r="2103" s="69" customFormat="1" ht="15.75"/>
    <row r="2104" s="69" customFormat="1" ht="15.75"/>
    <row r="2105" s="69" customFormat="1" ht="15.75"/>
    <row r="2106" s="69" customFormat="1" ht="15.75"/>
    <row r="2107" s="69" customFormat="1" ht="15.75"/>
    <row r="2108" s="69" customFormat="1" ht="15.75"/>
    <row r="2109" s="69" customFormat="1" ht="15.75"/>
    <row r="2110" s="69" customFormat="1" ht="15.75"/>
    <row r="2111" s="69" customFormat="1" ht="15.75"/>
    <row r="2112" s="69" customFormat="1" ht="15.75"/>
    <row r="2113" s="69" customFormat="1" ht="15.75"/>
    <row r="2114" s="69" customFormat="1" ht="15.75"/>
    <row r="2115" s="69" customFormat="1" ht="15.75"/>
    <row r="2116" s="69" customFormat="1" ht="15.75"/>
    <row r="2117" s="69" customFormat="1" ht="15.75"/>
    <row r="2118" s="69" customFormat="1" ht="15.75"/>
    <row r="2119" s="69" customFormat="1" ht="15.75"/>
    <row r="2120" s="69" customFormat="1" ht="15.75"/>
    <row r="2121" s="69" customFormat="1" ht="15.75"/>
    <row r="2122" s="69" customFormat="1" ht="15.75"/>
    <row r="2123" s="69" customFormat="1" ht="15.75"/>
    <row r="2124" s="69" customFormat="1" ht="15.75"/>
    <row r="2125" s="69" customFormat="1" ht="15.75"/>
    <row r="2126" s="69" customFormat="1" ht="15.75"/>
    <row r="2127" s="69" customFormat="1" ht="15.75"/>
    <row r="2128" s="69" customFormat="1" ht="15.75"/>
    <row r="2129" s="69" customFormat="1" ht="15.75"/>
    <row r="2130" s="69" customFormat="1" ht="15.75"/>
    <row r="2131" s="69" customFormat="1" ht="15.75"/>
    <row r="2132" s="69" customFormat="1" ht="15.75"/>
    <row r="2133" s="69" customFormat="1" ht="15.75"/>
    <row r="2134" s="69" customFormat="1" ht="15.75"/>
    <row r="2135" s="69" customFormat="1" ht="15.75"/>
    <row r="2136" s="69" customFormat="1" ht="15.75"/>
    <row r="2137" s="69" customFormat="1" ht="15.75"/>
    <row r="2138" s="69" customFormat="1" ht="15.75"/>
    <row r="2139" s="69" customFormat="1" ht="15.75"/>
    <row r="2140" s="69" customFormat="1" ht="15.75"/>
    <row r="2141" s="69" customFormat="1" ht="15.75"/>
    <row r="2142" s="69" customFormat="1" ht="15.75"/>
    <row r="2143" s="69" customFormat="1" ht="15.75"/>
    <row r="2144" s="69" customFormat="1" ht="15.75"/>
    <row r="2145" s="69" customFormat="1" ht="15.75"/>
    <row r="2146" s="69" customFormat="1" ht="15.75"/>
    <row r="2147" s="69" customFormat="1" ht="15.75"/>
    <row r="2148" s="69" customFormat="1" ht="15.75"/>
    <row r="2149" s="69" customFormat="1" ht="15.75"/>
    <row r="2150" s="69" customFormat="1" ht="15.75"/>
    <row r="2151" s="69" customFormat="1" ht="15.75"/>
    <row r="2152" s="69" customFormat="1" ht="15.75"/>
    <row r="2153" s="69" customFormat="1" ht="15.75"/>
    <row r="2154" s="69" customFormat="1" ht="15.75"/>
    <row r="2155" s="69" customFormat="1" ht="15.75"/>
    <row r="2156" s="69" customFormat="1" ht="15.75"/>
    <row r="2157" s="69" customFormat="1" ht="15.75"/>
    <row r="2158" s="69" customFormat="1" ht="15.75"/>
    <row r="2159" s="69" customFormat="1" ht="15.75"/>
    <row r="2160" s="69" customFormat="1" ht="15.75"/>
    <row r="2161" s="69" customFormat="1" ht="15.75"/>
    <row r="2162" s="69" customFormat="1" ht="15.75"/>
    <row r="2163" s="69" customFormat="1" ht="15.75"/>
    <row r="2164" s="69" customFormat="1" ht="15.75"/>
    <row r="2165" s="69" customFormat="1" ht="15.75"/>
    <row r="2166" s="69" customFormat="1" ht="15.75"/>
    <row r="2167" s="69" customFormat="1" ht="15.75"/>
    <row r="2168" s="69" customFormat="1" ht="15.75"/>
    <row r="2169" s="69" customFormat="1" ht="15.75"/>
    <row r="2170" s="69" customFormat="1" ht="15.75"/>
    <row r="2171" s="69" customFormat="1" ht="15.75"/>
    <row r="2172" s="69" customFormat="1" ht="15.75"/>
    <row r="2173" s="69" customFormat="1" ht="15.75"/>
    <row r="2174" s="69" customFormat="1" ht="15.75"/>
    <row r="2175" s="69" customFormat="1" ht="15.75"/>
    <row r="2176" s="69" customFormat="1" ht="15.75"/>
    <row r="2177" s="69" customFormat="1" ht="15.75"/>
    <row r="2178" s="69" customFormat="1" ht="15.75"/>
    <row r="2179" s="69" customFormat="1" ht="15.75"/>
    <row r="2180" s="69" customFormat="1" ht="15.75"/>
    <row r="2181" s="69" customFormat="1" ht="15.75"/>
    <row r="2182" s="69" customFormat="1" ht="15.75"/>
    <row r="2183" s="69" customFormat="1" ht="15.75"/>
    <row r="2184" s="69" customFormat="1" ht="15.75"/>
    <row r="2185" s="69" customFormat="1" ht="15.75"/>
    <row r="2186" s="69" customFormat="1" ht="15.75"/>
    <row r="2187" s="69" customFormat="1" ht="15.75"/>
    <row r="2188" s="69" customFormat="1" ht="15.75"/>
    <row r="2189" s="69" customFormat="1" ht="15.75"/>
    <row r="2190" s="69" customFormat="1" ht="15.75"/>
    <row r="2191" s="69" customFormat="1" ht="15.75"/>
    <row r="2192" s="69" customFormat="1" ht="15.75"/>
    <row r="2193" s="69" customFormat="1" ht="15.75"/>
    <row r="2194" s="69" customFormat="1" ht="15.75"/>
    <row r="2195" s="69" customFormat="1" ht="15.75"/>
    <row r="2196" s="69" customFormat="1" ht="15.75"/>
    <row r="2197" s="69" customFormat="1" ht="15.75"/>
    <row r="2198" s="69" customFormat="1" ht="15.75"/>
    <row r="2199" s="69" customFormat="1" ht="15.75"/>
    <row r="2200" s="69" customFormat="1" ht="15.75"/>
    <row r="2201" s="69" customFormat="1" ht="15.75"/>
    <row r="2202" s="69" customFormat="1" ht="15.75"/>
    <row r="2203" s="69" customFormat="1" ht="15.75"/>
    <row r="2204" s="69" customFormat="1" ht="15.75"/>
    <row r="2205" s="69" customFormat="1" ht="15.75"/>
    <row r="2206" s="69" customFormat="1" ht="15.75"/>
    <row r="2207" s="69" customFormat="1" ht="15.75"/>
    <row r="2208" s="69" customFormat="1" ht="15.75"/>
    <row r="2209" s="69" customFormat="1" ht="15.75"/>
    <row r="2210" s="69" customFormat="1" ht="15.75"/>
    <row r="2211" s="69" customFormat="1" ht="15.75"/>
    <row r="2212" s="69" customFormat="1" ht="15.75"/>
    <row r="2213" s="69" customFormat="1" ht="15.75"/>
    <row r="2214" s="69" customFormat="1" ht="15.75"/>
    <row r="2215" s="69" customFormat="1" ht="15.75"/>
    <row r="2216" s="69" customFormat="1" ht="15.75"/>
    <row r="2217" s="69" customFormat="1" ht="15.75"/>
    <row r="2218" s="69" customFormat="1" ht="15.75"/>
    <row r="2219" s="69" customFormat="1" ht="15.75"/>
    <row r="2220" s="69" customFormat="1" ht="15.75"/>
    <row r="2221" s="69" customFormat="1" ht="15.75"/>
    <row r="2222" s="69" customFormat="1" ht="15.75"/>
    <row r="2223" s="69" customFormat="1" ht="15.75"/>
    <row r="2224" s="69" customFormat="1" ht="15.75"/>
    <row r="2225" s="69" customFormat="1" ht="15.75"/>
    <row r="2226" s="69" customFormat="1" ht="15.75"/>
    <row r="2227" s="69" customFormat="1" ht="15.75"/>
    <row r="2228" s="69" customFormat="1" ht="15.75"/>
    <row r="2229" s="69" customFormat="1" ht="15.75"/>
    <row r="2230" s="69" customFormat="1" ht="15.75"/>
    <row r="2231" s="69" customFormat="1" ht="15.75"/>
    <row r="2232" s="69" customFormat="1" ht="15.75"/>
    <row r="2233" s="69" customFormat="1" ht="15.75"/>
    <row r="2234" s="69" customFormat="1" ht="15.75"/>
    <row r="2235" s="69" customFormat="1" ht="15.75"/>
    <row r="2236" s="69" customFormat="1" ht="15.75"/>
    <row r="2237" s="69" customFormat="1" ht="15.75"/>
    <row r="2238" s="69" customFormat="1" ht="15.75"/>
    <row r="2239" s="69" customFormat="1" ht="15.75"/>
    <row r="2240" s="69" customFormat="1" ht="15.75"/>
    <row r="2241" s="69" customFormat="1" ht="15.75"/>
    <row r="2242" s="69" customFormat="1" ht="15.75"/>
    <row r="2243" s="69" customFormat="1" ht="15.75"/>
    <row r="2244" s="69" customFormat="1" ht="15.75"/>
    <row r="2245" s="69" customFormat="1" ht="15.75"/>
    <row r="2246" s="69" customFormat="1" ht="15.75"/>
    <row r="2247" s="69" customFormat="1" ht="15.75"/>
    <row r="2248" s="69" customFormat="1" ht="15.75"/>
    <row r="2249" s="69" customFormat="1" ht="15.75"/>
    <row r="2250" s="69" customFormat="1" ht="15.75"/>
    <row r="2251" s="69" customFormat="1" ht="15.75"/>
    <row r="2252" s="69" customFormat="1" ht="15.75"/>
    <row r="2253" s="69" customFormat="1" ht="15.75"/>
    <row r="2254" s="69" customFormat="1" ht="15.75"/>
    <row r="2255" s="69" customFormat="1" ht="15.75"/>
    <row r="2256" s="69" customFormat="1" ht="15.75"/>
    <row r="2257" s="69" customFormat="1" ht="15.75"/>
    <row r="2258" s="69" customFormat="1" ht="15.75"/>
    <row r="2259" s="69" customFormat="1" ht="15.75"/>
    <row r="2260" s="69" customFormat="1" ht="15.75"/>
    <row r="2261" s="69" customFormat="1" ht="15.75"/>
    <row r="2262" s="69" customFormat="1" ht="15.75"/>
    <row r="2263" s="69" customFormat="1" ht="15.75"/>
    <row r="2264" s="69" customFormat="1" ht="15.75"/>
    <row r="2265" s="69" customFormat="1" ht="15.75"/>
    <row r="2266" s="69" customFormat="1" ht="15.75"/>
    <row r="2267" s="69" customFormat="1" ht="15.75"/>
    <row r="2268" s="69" customFormat="1" ht="15.75"/>
    <row r="2269" s="69" customFormat="1" ht="15.75"/>
    <row r="2270" s="69" customFormat="1" ht="15.75"/>
    <row r="2271" s="69" customFormat="1" ht="15.75"/>
    <row r="2272" s="69" customFormat="1" ht="15.75"/>
    <row r="2273" s="69" customFormat="1" ht="15.75"/>
    <row r="2274" s="69" customFormat="1" ht="15.75"/>
    <row r="2275" s="69" customFormat="1" ht="15.75"/>
    <row r="2276" s="69" customFormat="1" ht="15.75"/>
    <row r="2277" s="69" customFormat="1" ht="15.75"/>
    <row r="2278" s="69" customFormat="1" ht="15.75"/>
    <row r="2279" s="69" customFormat="1" ht="15.75"/>
    <row r="2280" s="69" customFormat="1" ht="15.75"/>
    <row r="2281" s="69" customFormat="1" ht="15.75"/>
    <row r="2282" s="69" customFormat="1" ht="15.75"/>
    <row r="2283" s="69" customFormat="1" ht="15.75"/>
    <row r="2284" s="69" customFormat="1" ht="15.75"/>
    <row r="2285" s="69" customFormat="1" ht="15.75"/>
    <row r="2286" s="69" customFormat="1" ht="15.75"/>
    <row r="2287" s="69" customFormat="1" ht="15.75"/>
    <row r="2288" s="69" customFormat="1" ht="15.75"/>
    <row r="2289" s="69" customFormat="1" ht="15.75"/>
    <row r="2290" s="69" customFormat="1" ht="15.75"/>
    <row r="2291" s="69" customFormat="1" ht="15.75"/>
    <row r="2292" s="69" customFormat="1" ht="15.75"/>
    <row r="2293" s="69" customFormat="1" ht="15.75"/>
    <row r="2294" s="69" customFormat="1" ht="15.75"/>
    <row r="2295" s="69" customFormat="1" ht="15.75"/>
    <row r="2296" s="69" customFormat="1" ht="15.75"/>
    <row r="2297" s="69" customFormat="1" ht="15.75"/>
    <row r="2298" s="69" customFormat="1" ht="15.75"/>
    <row r="2299" s="69" customFormat="1" ht="15.75"/>
    <row r="2300" s="69" customFormat="1" ht="15.75"/>
    <row r="2301" s="69" customFormat="1" ht="15.75"/>
    <row r="2302" s="69" customFormat="1" ht="15.75"/>
    <row r="2303" s="69" customFormat="1" ht="15.75"/>
    <row r="2304" s="69" customFormat="1" ht="15.75"/>
    <row r="2305" s="69" customFormat="1" ht="15.75"/>
    <row r="2306" s="69" customFormat="1" ht="15.75"/>
    <row r="2307" s="69" customFormat="1" ht="15.75"/>
    <row r="2308" s="69" customFormat="1" ht="15.75"/>
    <row r="2309" s="69" customFormat="1" ht="15.75"/>
    <row r="2310" s="69" customFormat="1" ht="15.75"/>
    <row r="2311" s="69" customFormat="1" ht="15.75"/>
    <row r="2312" s="69" customFormat="1" ht="15.75"/>
    <row r="2313" s="69" customFormat="1" ht="15.75"/>
    <row r="2314" s="69" customFormat="1" ht="15.75"/>
    <row r="2315" s="69" customFormat="1" ht="15.75"/>
    <row r="2316" s="69" customFormat="1" ht="15.75"/>
    <row r="2317" s="69" customFormat="1" ht="15.75"/>
    <row r="2318" s="69" customFormat="1" ht="15.75"/>
    <row r="2319" s="69" customFormat="1" ht="15.75"/>
    <row r="2320" s="69" customFormat="1" ht="15.75"/>
    <row r="2321" s="69" customFormat="1" ht="15.75"/>
    <row r="2322" s="69" customFormat="1" ht="15.75"/>
    <row r="2323" s="69" customFormat="1" ht="15.75"/>
    <row r="2324" s="69" customFormat="1" ht="15.75"/>
    <row r="2325" s="69" customFormat="1" ht="15.75"/>
    <row r="2326" s="69" customFormat="1" ht="15.75"/>
    <row r="2327" s="69" customFormat="1" ht="15.75"/>
    <row r="2328" s="69" customFormat="1" ht="15.75"/>
    <row r="2329" s="69" customFormat="1" ht="15.75"/>
    <row r="2330" s="69" customFormat="1" ht="15.75"/>
    <row r="2331" s="69" customFormat="1" ht="15.75"/>
    <row r="2332" s="69" customFormat="1" ht="15.75"/>
    <row r="2333" s="69" customFormat="1" ht="15.75"/>
    <row r="2334" s="69" customFormat="1" ht="15.75"/>
    <row r="2335" s="69" customFormat="1" ht="15.75"/>
    <row r="2336" s="69" customFormat="1" ht="15.75"/>
    <row r="2337" s="69" customFormat="1" ht="15.75"/>
    <row r="2338" s="69" customFormat="1" ht="15.75"/>
    <row r="2339" s="69" customFormat="1" ht="15.75"/>
    <row r="2340" s="69" customFormat="1" ht="15.75"/>
    <row r="2341" s="69" customFormat="1" ht="15.75"/>
    <row r="2342" s="69" customFormat="1" ht="15.75"/>
    <row r="2343" s="69" customFormat="1" ht="15.75"/>
    <row r="2344" s="69" customFormat="1" ht="15.75"/>
    <row r="2345" s="69" customFormat="1" ht="15.75"/>
    <row r="2346" s="69" customFormat="1" ht="15.75"/>
    <row r="2347" s="69" customFormat="1" ht="15.75"/>
    <row r="2348" s="69" customFormat="1" ht="15.75"/>
    <row r="2349" s="69" customFormat="1" ht="15.75"/>
    <row r="2350" s="69" customFormat="1" ht="15.75"/>
    <row r="2351" s="69" customFormat="1" ht="15.75"/>
    <row r="2352" s="69" customFormat="1" ht="15.75"/>
    <row r="2353" s="69" customFormat="1" ht="15.75"/>
    <row r="2354" s="69" customFormat="1" ht="15.75"/>
    <row r="2355" s="69" customFormat="1" ht="15.75"/>
    <row r="2356" s="69" customFormat="1" ht="15.75"/>
    <row r="2357" s="69" customFormat="1" ht="15.75"/>
    <row r="2358" s="69" customFormat="1" ht="15.75"/>
    <row r="2359" s="69" customFormat="1" ht="15.75"/>
    <row r="2360" s="69" customFormat="1" ht="15.75"/>
    <row r="2361" s="69" customFormat="1" ht="15.75"/>
    <row r="2362" s="69" customFormat="1" ht="15.75"/>
    <row r="2363" s="69" customFormat="1" ht="15.75"/>
    <row r="2364" s="69" customFormat="1" ht="15.75"/>
    <row r="2365" s="69" customFormat="1" ht="15.75"/>
    <row r="2366" s="69" customFormat="1" ht="15.75"/>
    <row r="2367" s="69" customFormat="1" ht="15.75"/>
    <row r="2368" s="69" customFormat="1" ht="15.75"/>
    <row r="2369" s="69" customFormat="1" ht="15.75"/>
    <row r="2370" s="69" customFormat="1" ht="15.75"/>
    <row r="2371" s="69" customFormat="1" ht="15.75"/>
    <row r="2372" s="69" customFormat="1" ht="15.75"/>
    <row r="2373" s="69" customFormat="1" ht="15.75"/>
    <row r="2374" s="69" customFormat="1" ht="15.75"/>
    <row r="2375" s="69" customFormat="1" ht="15.75"/>
    <row r="2376" s="69" customFormat="1" ht="15.75"/>
    <row r="2377" s="69" customFormat="1" ht="15.75"/>
    <row r="2378" s="69" customFormat="1" ht="15.75"/>
    <row r="2379" s="69" customFormat="1" ht="15.75"/>
    <row r="2380" s="69" customFormat="1" ht="15.75"/>
    <row r="2381" s="69" customFormat="1" ht="15.75"/>
    <row r="2382" s="69" customFormat="1" ht="15.75"/>
    <row r="2383" s="69" customFormat="1" ht="15.75"/>
    <row r="2384" s="69" customFormat="1" ht="15.75"/>
    <row r="2385" s="69" customFormat="1" ht="15.75"/>
    <row r="2386" s="69" customFormat="1" ht="15.75"/>
    <row r="2387" s="69" customFormat="1" ht="15.75"/>
    <row r="2388" s="69" customFormat="1" ht="15.75"/>
    <row r="2389" s="69" customFormat="1" ht="15.75"/>
    <row r="2390" s="69" customFormat="1" ht="15.75"/>
    <row r="2391" s="69" customFormat="1" ht="15.75"/>
    <row r="2392" s="69" customFormat="1" ht="15.75"/>
    <row r="2393" s="69" customFormat="1" ht="15.75"/>
    <row r="2394" s="69" customFormat="1" ht="15.75"/>
    <row r="2395" s="69" customFormat="1" ht="15.75"/>
    <row r="2396" s="69" customFormat="1" ht="15.75"/>
    <row r="2397" s="69" customFormat="1" ht="15.75"/>
    <row r="2398" s="69" customFormat="1" ht="15.75"/>
    <row r="2399" s="69" customFormat="1" ht="15.75"/>
    <row r="2400" s="69" customFormat="1" ht="15.75"/>
    <row r="2401" s="69" customFormat="1" ht="15.75"/>
    <row r="2402" s="69" customFormat="1" ht="15.75"/>
    <row r="2403" s="69" customFormat="1" ht="15.75"/>
    <row r="2404" s="69" customFormat="1" ht="15.75"/>
    <row r="2405" s="69" customFormat="1" ht="15.75"/>
    <row r="2406" s="69" customFormat="1" ht="15.75"/>
    <row r="2407" s="69" customFormat="1" ht="15.75"/>
    <row r="2408" s="69" customFormat="1" ht="15.75"/>
    <row r="2409" s="69" customFormat="1" ht="15.75"/>
    <row r="2410" s="69" customFormat="1" ht="15.75"/>
    <row r="2411" s="69" customFormat="1" ht="15.75"/>
    <row r="2412" s="69" customFormat="1" ht="15.75"/>
    <row r="2413" s="69" customFormat="1" ht="15.75"/>
    <row r="2414" s="69" customFormat="1" ht="15.75"/>
    <row r="2415" s="69" customFormat="1" ht="15.75"/>
    <row r="2416" s="69" customFormat="1" ht="15.75"/>
    <row r="2417" s="69" customFormat="1" ht="15.75"/>
    <row r="2418" s="69" customFormat="1" ht="15.75"/>
    <row r="2419" s="69" customFormat="1" ht="15.75"/>
    <row r="2420" s="69" customFormat="1" ht="15.75"/>
    <row r="2421" s="69" customFormat="1" ht="15.75"/>
    <row r="2422" s="69" customFormat="1" ht="15.75"/>
    <row r="2423" s="69" customFormat="1" ht="15.75"/>
    <row r="2424" s="69" customFormat="1" ht="15.75"/>
    <row r="2425" s="69" customFormat="1" ht="15.75"/>
    <row r="2426" s="69" customFormat="1" ht="15.75"/>
    <row r="2427" s="69" customFormat="1" ht="15.75"/>
    <row r="2428" s="69" customFormat="1" ht="15.75"/>
    <row r="2429" s="69" customFormat="1" ht="15.75"/>
    <row r="2430" s="69" customFormat="1" ht="15.75"/>
    <row r="2431" s="69" customFormat="1" ht="15.75"/>
    <row r="2432" s="69" customFormat="1" ht="15.75"/>
    <row r="2433" s="69" customFormat="1" ht="15.75"/>
    <row r="2434" s="69" customFormat="1" ht="15.75"/>
    <row r="2435" s="69" customFormat="1" ht="15.75"/>
    <row r="2436" s="69" customFormat="1" ht="15.75"/>
    <row r="2437" s="69" customFormat="1" ht="15.75"/>
    <row r="2438" s="69" customFormat="1" ht="15.75"/>
    <row r="2439" s="69" customFormat="1" ht="15.75"/>
    <row r="2440" s="69" customFormat="1" ht="15.75"/>
    <row r="2441" s="69" customFormat="1" ht="15.75"/>
    <row r="2442" s="69" customFormat="1" ht="15.75"/>
    <row r="2443" s="69" customFormat="1" ht="15.75"/>
    <row r="2444" s="69" customFormat="1" ht="15.75"/>
    <row r="2445" s="69" customFormat="1" ht="15.75"/>
    <row r="2446" s="69" customFormat="1" ht="15.75"/>
    <row r="2447" s="69" customFormat="1" ht="15.75"/>
    <row r="2448" s="69" customFormat="1" ht="15.75"/>
    <row r="2449" s="69" customFormat="1" ht="15.75"/>
    <row r="2450" s="69" customFormat="1" ht="15.75"/>
    <row r="2451" s="69" customFormat="1" ht="15.75"/>
    <row r="2452" s="69" customFormat="1" ht="15.75"/>
    <row r="2453" s="69" customFormat="1" ht="15.75"/>
    <row r="2454" s="69" customFormat="1" ht="15.75"/>
    <row r="2455" s="69" customFormat="1" ht="15.75"/>
    <row r="2456" s="69" customFormat="1" ht="15.75"/>
    <row r="2457" s="69" customFormat="1" ht="15.75"/>
    <row r="2458" s="69" customFormat="1" ht="15.75"/>
    <row r="2459" s="69" customFormat="1" ht="15.75"/>
    <row r="2460" s="69" customFormat="1" ht="15.75"/>
    <row r="2461" s="69" customFormat="1" ht="15.75"/>
    <row r="2462" s="69" customFormat="1" ht="15.75"/>
    <row r="2463" s="69" customFormat="1" ht="15.75"/>
    <row r="2464" s="69" customFormat="1" ht="15.75"/>
    <row r="2465" s="69" customFormat="1" ht="15.75"/>
    <row r="2466" s="69" customFormat="1" ht="15.75"/>
    <row r="2467" s="69" customFormat="1" ht="15.75"/>
    <row r="2468" s="69" customFormat="1" ht="15.75"/>
    <row r="2469" s="69" customFormat="1" ht="15.75"/>
    <row r="2470" s="69" customFormat="1" ht="15.75"/>
    <row r="2471" s="69" customFormat="1" ht="15.75"/>
    <row r="2472" s="69" customFormat="1" ht="15.75"/>
    <row r="2473" s="69" customFormat="1" ht="15.75"/>
    <row r="2474" s="69" customFormat="1" ht="15.75"/>
    <row r="2475" s="69" customFormat="1" ht="15.75"/>
    <row r="2476" s="69" customFormat="1" ht="15.75"/>
    <row r="2477" s="69" customFormat="1" ht="15.75"/>
    <row r="2478" s="69" customFormat="1" ht="15.75"/>
    <row r="2479" s="69" customFormat="1" ht="15.75"/>
    <row r="2480" s="69" customFormat="1" ht="15.75"/>
    <row r="2481" s="69" customFormat="1" ht="15.75"/>
    <row r="2482" s="69" customFormat="1" ht="15.75"/>
    <row r="2483" s="69" customFormat="1" ht="15.75"/>
    <row r="2484" s="69" customFormat="1" ht="15.75"/>
    <row r="2485" s="69" customFormat="1" ht="15.75"/>
    <row r="2486" s="69" customFormat="1" ht="15.75"/>
    <row r="2487" s="69" customFormat="1" ht="15.75"/>
    <row r="2488" s="69" customFormat="1" ht="15.75"/>
    <row r="2489" s="69" customFormat="1" ht="15.75"/>
    <row r="2490" s="69" customFormat="1" ht="15.75"/>
    <row r="2491" s="69" customFormat="1" ht="15.75"/>
    <row r="2492" s="69" customFormat="1" ht="15.75"/>
    <row r="2493" s="69" customFormat="1" ht="15.75"/>
    <row r="2494" s="69" customFormat="1" ht="15.75"/>
    <row r="2495" s="69" customFormat="1" ht="15.75"/>
    <row r="2496" s="69" customFormat="1" ht="15.75"/>
    <row r="2497" s="69" customFormat="1" ht="15.75"/>
    <row r="2498" s="69" customFormat="1" ht="15.75"/>
    <row r="2499" s="69" customFormat="1" ht="15.75"/>
    <row r="2500" s="69" customFormat="1" ht="15.75"/>
    <row r="2501" s="69" customFormat="1" ht="15.75"/>
    <row r="2502" s="69" customFormat="1" ht="15.75"/>
    <row r="2503" s="69" customFormat="1" ht="15.75"/>
    <row r="2504" s="69" customFormat="1" ht="15.75"/>
    <row r="2505" s="69" customFormat="1" ht="15.75"/>
    <row r="2506" s="69" customFormat="1" ht="15.75"/>
    <row r="2507" s="69" customFormat="1" ht="15.75"/>
    <row r="2508" s="69" customFormat="1" ht="15.75"/>
    <row r="2509" s="69" customFormat="1" ht="15.75"/>
    <row r="2510" s="69" customFormat="1" ht="15.75"/>
    <row r="2511" s="69" customFormat="1" ht="15.75"/>
    <row r="2512" s="69" customFormat="1" ht="15.75"/>
    <row r="2513" s="69" customFormat="1" ht="15.75"/>
    <row r="2514" s="69" customFormat="1" ht="15.75"/>
    <row r="2515" s="69" customFormat="1" ht="15.75"/>
    <row r="2516" s="69" customFormat="1" ht="15.75"/>
    <row r="2517" s="69" customFormat="1" ht="15.75"/>
    <row r="2518" s="69" customFormat="1" ht="15.75"/>
    <row r="2519" s="69" customFormat="1" ht="15.75"/>
    <row r="2520" s="69" customFormat="1" ht="15.75"/>
    <row r="2521" s="69" customFormat="1" ht="15.75"/>
    <row r="2522" s="69" customFormat="1" ht="15.75"/>
    <row r="2523" s="69" customFormat="1" ht="15.75"/>
    <row r="2524" s="69" customFormat="1" ht="15.75"/>
    <row r="2525" s="69" customFormat="1" ht="15.75"/>
    <row r="2526" s="69" customFormat="1" ht="15.75"/>
    <row r="2527" s="69" customFormat="1" ht="15.75"/>
    <row r="2528" s="69" customFormat="1" ht="15.75"/>
    <row r="2529" s="69" customFormat="1" ht="15.75"/>
    <row r="2530" s="69" customFormat="1" ht="15.75"/>
    <row r="2531" s="69" customFormat="1" ht="15.75"/>
    <row r="2532" s="69" customFormat="1" ht="15.75"/>
    <row r="2533" s="69" customFormat="1" ht="15.75"/>
    <row r="2534" s="69" customFormat="1" ht="15.75"/>
    <row r="2535" s="69" customFormat="1" ht="15.75"/>
    <row r="2536" s="69" customFormat="1" ht="15.75"/>
    <row r="2537" s="69" customFormat="1" ht="15.75"/>
    <row r="2538" s="69" customFormat="1" ht="15.75"/>
    <row r="2539" s="69" customFormat="1" ht="15.75"/>
    <row r="2540" s="69" customFormat="1" ht="15.75"/>
    <row r="2541" s="69" customFormat="1" ht="15.75"/>
    <row r="2542" s="69" customFormat="1" ht="15.75"/>
    <row r="2543" s="69" customFormat="1" ht="15.75"/>
    <row r="2544" s="69" customFormat="1" ht="15.75"/>
    <row r="2545" s="69" customFormat="1" ht="15.75"/>
    <row r="2546" s="69" customFormat="1" ht="15.75"/>
    <row r="2547" s="69" customFormat="1" ht="15.75"/>
    <row r="2548" s="69" customFormat="1" ht="15.75"/>
    <row r="2549" s="69" customFormat="1" ht="15.75"/>
    <row r="2550" s="69" customFormat="1" ht="15.75"/>
    <row r="2551" s="69" customFormat="1" ht="15.75"/>
    <row r="2552" s="69" customFormat="1" ht="15.75"/>
    <row r="2553" s="69" customFormat="1" ht="15.75"/>
    <row r="2554" s="69" customFormat="1" ht="15.75"/>
    <row r="2555" s="69" customFormat="1" ht="15.75"/>
    <row r="2556" s="69" customFormat="1" ht="15.75"/>
    <row r="2557" s="69" customFormat="1" ht="15.75"/>
    <row r="2558" s="69" customFormat="1" ht="15.75"/>
    <row r="2559" s="69" customFormat="1" ht="15.75"/>
    <row r="2560" s="69" customFormat="1" ht="15.75"/>
    <row r="2561" s="69" customFormat="1" ht="15.75"/>
    <row r="2562" s="69" customFormat="1" ht="15.75"/>
    <row r="2563" s="69" customFormat="1" ht="15.75"/>
    <row r="2564" s="69" customFormat="1" ht="15.75"/>
    <row r="2565" s="69" customFormat="1" ht="15.75"/>
    <row r="2566" s="69" customFormat="1" ht="15.75"/>
    <row r="2567" s="69" customFormat="1" ht="15.75"/>
    <row r="2568" s="69" customFormat="1" ht="15.75"/>
    <row r="2569" s="69" customFormat="1" ht="15.75"/>
    <row r="2570" s="69" customFormat="1" ht="15.75"/>
    <row r="2571" s="69" customFormat="1" ht="15.75"/>
    <row r="2572" s="69" customFormat="1" ht="15.75"/>
    <row r="2573" s="69" customFormat="1" ht="15.75"/>
    <row r="2574" s="69" customFormat="1" ht="15.75"/>
    <row r="2575" s="69" customFormat="1" ht="15.75"/>
    <row r="2576" s="69" customFormat="1" ht="15.75"/>
    <row r="2577" s="69" customFormat="1" ht="15.75"/>
    <row r="2578" s="69" customFormat="1" ht="15.75"/>
    <row r="2579" s="69" customFormat="1" ht="15.75"/>
    <row r="2580" s="69" customFormat="1" ht="15.75"/>
    <row r="2581" s="69" customFormat="1" ht="15.75"/>
    <row r="2582" s="69" customFormat="1" ht="15.75"/>
    <row r="2583" s="69" customFormat="1" ht="15.75"/>
    <row r="2584" s="69" customFormat="1" ht="15.75"/>
    <row r="2585" s="69" customFormat="1" ht="15.75"/>
    <row r="2586" s="69" customFormat="1" ht="15.75"/>
    <row r="2587" s="69" customFormat="1" ht="15.75"/>
    <row r="2588" s="69" customFormat="1" ht="15.75"/>
    <row r="2589" s="69" customFormat="1" ht="15.75"/>
    <row r="2590" s="69" customFormat="1" ht="15.75"/>
    <row r="2591" s="69" customFormat="1" ht="15.75"/>
    <row r="2592" s="69" customFormat="1" ht="15.75"/>
    <row r="2593" s="69" customFormat="1" ht="15.75"/>
    <row r="2594" s="69" customFormat="1" ht="15.75"/>
    <row r="2595" s="69" customFormat="1" ht="15.75"/>
    <row r="2596" s="69" customFormat="1" ht="15.75"/>
    <row r="2597" s="69" customFormat="1" ht="15.75"/>
    <row r="2598" s="69" customFormat="1" ht="15.75"/>
    <row r="2599" s="69" customFormat="1" ht="15.75"/>
    <row r="2600" s="69" customFormat="1" ht="15.75"/>
    <row r="2601" s="69" customFormat="1" ht="15.75"/>
    <row r="2602" s="69" customFormat="1" ht="15.75"/>
    <row r="2603" s="69" customFormat="1" ht="15.75"/>
    <row r="2604" s="69" customFormat="1" ht="15.75"/>
    <row r="2605" s="69" customFormat="1" ht="15.75"/>
    <row r="2606" s="69" customFormat="1" ht="15.75"/>
    <row r="2607" s="69" customFormat="1" ht="15.75"/>
    <row r="2608" s="69" customFormat="1" ht="15.75"/>
    <row r="2609" s="69" customFormat="1" ht="15.75"/>
    <row r="2610" s="69" customFormat="1" ht="15.75"/>
    <row r="2611" s="69" customFormat="1" ht="15.75"/>
    <row r="2612" s="69" customFormat="1" ht="15.75"/>
    <row r="2613" s="69" customFormat="1" ht="15.75"/>
    <row r="2614" s="69" customFormat="1" ht="15.75"/>
    <row r="2615" s="69" customFormat="1" ht="15.75"/>
    <row r="2616" s="69" customFormat="1" ht="15.75"/>
    <row r="2617" s="69" customFormat="1" ht="15.75"/>
    <row r="2618" s="69" customFormat="1" ht="15.75"/>
    <row r="2619" s="69" customFormat="1" ht="15.75"/>
    <row r="2620" s="69" customFormat="1" ht="15.75"/>
    <row r="2621" s="69" customFormat="1" ht="15.75"/>
    <row r="2622" s="69" customFormat="1" ht="15.75"/>
    <row r="2623" s="69" customFormat="1" ht="15.75"/>
    <row r="2624" s="69" customFormat="1" ht="15.75"/>
    <row r="2625" s="69" customFormat="1" ht="15.75"/>
    <row r="2626" s="69" customFormat="1" ht="15.75"/>
    <row r="2627" s="69" customFormat="1" ht="15.75"/>
    <row r="2628" s="69" customFormat="1" ht="15.75"/>
    <row r="2629" s="69" customFormat="1" ht="15.75"/>
    <row r="2630" s="69" customFormat="1" ht="15.75"/>
    <row r="2631" s="69" customFormat="1" ht="15.75"/>
    <row r="2632" s="69" customFormat="1" ht="15.75"/>
    <row r="2633" s="69" customFormat="1" ht="15.75"/>
    <row r="2634" s="69" customFormat="1" ht="15.75"/>
    <row r="2635" s="69" customFormat="1" ht="15.75"/>
    <row r="2636" s="69" customFormat="1" ht="15.75"/>
    <row r="2637" s="69" customFormat="1" ht="15.75"/>
    <row r="2638" s="69" customFormat="1" ht="15.75"/>
    <row r="2639" s="69" customFormat="1" ht="15.75"/>
    <row r="2640" s="69" customFormat="1" ht="15.75"/>
    <row r="2641" s="69" customFormat="1" ht="15.75"/>
    <row r="2642" s="69" customFormat="1" ht="15.75"/>
    <row r="2643" s="69" customFormat="1" ht="15.75"/>
    <row r="2644" s="69" customFormat="1" ht="15.75"/>
    <row r="2645" s="69" customFormat="1" ht="15.75"/>
    <row r="2646" s="69" customFormat="1" ht="15.75"/>
    <row r="2647" s="69" customFormat="1" ht="15.75"/>
    <row r="2648" s="69" customFormat="1" ht="15.75"/>
    <row r="2649" s="69" customFormat="1" ht="15.75"/>
    <row r="2650" s="69" customFormat="1" ht="15.75"/>
    <row r="2651" s="69" customFormat="1" ht="15.75"/>
    <row r="2652" s="69" customFormat="1" ht="15.75"/>
    <row r="2653" s="69" customFormat="1" ht="15.75"/>
    <row r="2654" s="69" customFormat="1" ht="15.75"/>
    <row r="2655" s="69" customFormat="1" ht="15.75"/>
    <row r="2656" s="69" customFormat="1" ht="15.75"/>
    <row r="2657" s="69" customFormat="1" ht="15.75"/>
    <row r="2658" s="69" customFormat="1" ht="15.75"/>
    <row r="2659" s="69" customFormat="1" ht="15.75"/>
    <row r="2660" s="69" customFormat="1" ht="15.75"/>
    <row r="2661" s="69" customFormat="1" ht="15.75"/>
    <row r="2662" s="69" customFormat="1" ht="15.75"/>
    <row r="2663" s="69" customFormat="1" ht="15.75"/>
    <row r="2664" s="69" customFormat="1" ht="15.75"/>
    <row r="2665" s="69" customFormat="1" ht="15.75"/>
    <row r="2666" s="69" customFormat="1" ht="15.75"/>
    <row r="2667" s="69" customFormat="1" ht="15.75"/>
    <row r="2668" s="69" customFormat="1" ht="15.75"/>
    <row r="2669" s="69" customFormat="1" ht="15.75"/>
    <row r="2670" s="69" customFormat="1" ht="15.75"/>
    <row r="2671" s="69" customFormat="1" ht="15.75"/>
    <row r="2672" s="69" customFormat="1" ht="15.75"/>
    <row r="2673" s="69" customFormat="1" ht="15.75"/>
    <row r="2674" s="69" customFormat="1" ht="15.75"/>
    <row r="2675" s="69" customFormat="1" ht="15.75"/>
    <row r="2676" s="69" customFormat="1" ht="15.75"/>
    <row r="2677" s="69" customFormat="1" ht="15.75"/>
    <row r="2678" s="69" customFormat="1" ht="15.75"/>
    <row r="2679" s="69" customFormat="1" ht="15.75"/>
    <row r="2680" s="69" customFormat="1" ht="15.75"/>
    <row r="2681" s="69" customFormat="1" ht="15.75"/>
    <row r="2682" s="69" customFormat="1" ht="15.75"/>
    <row r="2683" s="69" customFormat="1" ht="15.75"/>
    <row r="2684" s="69" customFormat="1" ht="15.75"/>
    <row r="2685" s="69" customFormat="1" ht="15.75"/>
    <row r="2686" s="69" customFormat="1" ht="15.75"/>
    <row r="2687" s="69" customFormat="1" ht="15.75"/>
    <row r="2688" s="69" customFormat="1" ht="15.75"/>
    <row r="2689" s="69" customFormat="1" ht="15.75"/>
    <row r="2690" s="69" customFormat="1" ht="15.75"/>
    <row r="2691" s="69" customFormat="1" ht="15.75"/>
    <row r="2692" s="69" customFormat="1" ht="15.75"/>
    <row r="2693" s="69" customFormat="1" ht="15.75"/>
    <row r="2694" s="69" customFormat="1" ht="15.75"/>
    <row r="2695" s="69" customFormat="1" ht="15.75"/>
    <row r="2696" s="69" customFormat="1" ht="15.75"/>
    <row r="2697" s="69" customFormat="1" ht="15.75"/>
    <row r="2698" s="69" customFormat="1" ht="15.75"/>
    <row r="2699" s="69" customFormat="1" ht="15.75"/>
    <row r="2700" s="69" customFormat="1" ht="15.75"/>
    <row r="2701" s="69" customFormat="1" ht="15.75"/>
    <row r="2702" s="69" customFormat="1" ht="15.75"/>
    <row r="2703" s="69" customFormat="1" ht="15.75"/>
    <row r="2704" s="69" customFormat="1" ht="15.75"/>
    <row r="2705" s="69" customFormat="1" ht="15.75"/>
    <row r="2706" s="69" customFormat="1" ht="15.75"/>
    <row r="2707" s="69" customFormat="1" ht="15.75"/>
    <row r="2708" s="69" customFormat="1" ht="15.75"/>
    <row r="2709" s="69" customFormat="1" ht="15.75"/>
    <row r="2710" s="69" customFormat="1" ht="15.75"/>
    <row r="2711" s="69" customFormat="1" ht="15.75"/>
    <row r="2712" s="69" customFormat="1" ht="15.75"/>
    <row r="2713" s="69" customFormat="1" ht="15.75"/>
    <row r="2714" s="69" customFormat="1" ht="15.75"/>
    <row r="2715" s="69" customFormat="1" ht="15.75"/>
    <row r="2716" s="69" customFormat="1" ht="15.75"/>
    <row r="2717" s="69" customFormat="1" ht="15.75"/>
    <row r="2718" s="69" customFormat="1" ht="15.75"/>
    <row r="2719" s="69" customFormat="1" ht="15.75"/>
    <row r="2720" s="69" customFormat="1" ht="15.75"/>
    <row r="2721" s="69" customFormat="1" ht="15.75"/>
    <row r="2722" s="69" customFormat="1" ht="15.75"/>
    <row r="2723" s="69" customFormat="1" ht="15.75"/>
    <row r="2724" s="69" customFormat="1" ht="15.75"/>
    <row r="2725" s="69" customFormat="1" ht="15.75"/>
    <row r="2726" s="69" customFormat="1" ht="15.75"/>
    <row r="2727" s="69" customFormat="1" ht="15.75"/>
    <row r="2728" s="69" customFormat="1" ht="15.75"/>
    <row r="2729" s="69" customFormat="1" ht="15.75"/>
    <row r="2730" s="69" customFormat="1" ht="15.75"/>
    <row r="2731" s="69" customFormat="1" ht="15.75"/>
    <row r="2732" s="69" customFormat="1" ht="15.75"/>
    <row r="2733" s="69" customFormat="1" ht="15.75"/>
    <row r="2734" s="69" customFormat="1" ht="15.75"/>
    <row r="2735" s="69" customFormat="1" ht="15.75"/>
    <row r="2736" s="69" customFormat="1" ht="15.75"/>
    <row r="2737" s="69" customFormat="1" ht="15.75"/>
    <row r="2738" s="69" customFormat="1" ht="15.75"/>
    <row r="2739" s="69" customFormat="1" ht="15.75"/>
    <row r="2740" s="69" customFormat="1" ht="15.75"/>
    <row r="2741" s="69" customFormat="1" ht="15.75"/>
    <row r="2742" s="69" customFormat="1" ht="15.75"/>
    <row r="2743" s="69" customFormat="1" ht="15.75"/>
    <row r="2744" s="69" customFormat="1" ht="15.75"/>
    <row r="2745" s="69" customFormat="1" ht="15.75"/>
    <row r="2746" s="69" customFormat="1" ht="15.75"/>
    <row r="2747" s="69" customFormat="1" ht="15.75"/>
    <row r="2748" s="69" customFormat="1" ht="15.75"/>
    <row r="2749" s="69" customFormat="1" ht="15.75"/>
    <row r="2750" s="69" customFormat="1" ht="15.75"/>
    <row r="2751" s="69" customFormat="1" ht="15.75"/>
    <row r="2752" s="69" customFormat="1" ht="15.75"/>
    <row r="2753" s="69" customFormat="1" ht="15.75"/>
    <row r="2754" s="69" customFormat="1" ht="15.75"/>
    <row r="2755" s="69" customFormat="1" ht="15.75"/>
    <row r="2756" s="69" customFormat="1" ht="15.75"/>
    <row r="2757" s="69" customFormat="1" ht="15.75"/>
    <row r="2758" s="69" customFormat="1" ht="15.75"/>
    <row r="2759" s="69" customFormat="1" ht="15.75"/>
    <row r="2760" s="69" customFormat="1" ht="15.75"/>
    <row r="2761" s="69" customFormat="1" ht="15.75"/>
    <row r="2762" s="69" customFormat="1" ht="15.75"/>
    <row r="2763" s="69" customFormat="1" ht="15.75"/>
    <row r="2764" s="69" customFormat="1" ht="15.75"/>
    <row r="2765" s="69" customFormat="1" ht="15.75"/>
    <row r="2766" s="69" customFormat="1" ht="15.75"/>
    <row r="2767" s="69" customFormat="1" ht="15.75"/>
    <row r="2768" s="69" customFormat="1" ht="15.75"/>
    <row r="2769" s="69" customFormat="1" ht="15.75"/>
    <row r="2770" s="69" customFormat="1" ht="15.75"/>
    <row r="2771" s="69" customFormat="1" ht="15.75"/>
    <row r="2772" s="69" customFormat="1" ht="15.75"/>
    <row r="2773" s="69" customFormat="1" ht="15.75"/>
    <row r="2774" s="69" customFormat="1" ht="15.75"/>
    <row r="2775" s="69" customFormat="1" ht="15.75"/>
    <row r="2776" s="69" customFormat="1" ht="15.75"/>
    <row r="2777" s="69" customFormat="1" ht="15.75"/>
    <row r="2778" s="69" customFormat="1" ht="15.75"/>
    <row r="2779" s="69" customFormat="1" ht="15.75"/>
    <row r="2780" s="69" customFormat="1" ht="15.75"/>
    <row r="2781" s="69" customFormat="1" ht="15.75"/>
    <row r="2782" s="69" customFormat="1" ht="15.75"/>
    <row r="2783" s="69" customFormat="1" ht="15.75"/>
    <row r="2784" s="69" customFormat="1" ht="15.75"/>
    <row r="2785" s="69" customFormat="1" ht="15.75"/>
    <row r="2786" s="69" customFormat="1" ht="15.75"/>
    <row r="2787" s="69" customFormat="1" ht="15.75"/>
    <row r="2788" s="69" customFormat="1" ht="15.75"/>
    <row r="2789" s="69" customFormat="1" ht="15.75"/>
    <row r="2790" s="69" customFormat="1" ht="15.75"/>
    <row r="2791" s="69" customFormat="1" ht="15.75"/>
    <row r="2792" s="69" customFormat="1" ht="15.75"/>
    <row r="2793" s="69" customFormat="1" ht="15.75"/>
    <row r="2794" s="69" customFormat="1" ht="15.75"/>
    <row r="2795" s="69" customFormat="1" ht="15.75"/>
    <row r="2796" s="69" customFormat="1" ht="15.75"/>
    <row r="2797" s="69" customFormat="1" ht="15.75"/>
    <row r="2798" s="69" customFormat="1" ht="15.75"/>
    <row r="2799" s="69" customFormat="1" ht="15.75"/>
    <row r="2800" s="69" customFormat="1" ht="15.75"/>
    <row r="2801" s="69" customFormat="1" ht="15.75"/>
    <row r="2802" s="69" customFormat="1" ht="15.75"/>
    <row r="2803" s="69" customFormat="1" ht="15.75"/>
    <row r="2804" s="69" customFormat="1" ht="15.75"/>
    <row r="2805" s="69" customFormat="1" ht="15.75"/>
    <row r="2806" s="69" customFormat="1" ht="15.75"/>
    <row r="2807" s="69" customFormat="1" ht="15.75"/>
    <row r="2808" s="69" customFormat="1" ht="15.75"/>
    <row r="2809" s="69" customFormat="1" ht="15.75"/>
    <row r="2810" s="69" customFormat="1" ht="15.75"/>
    <row r="2811" s="69" customFormat="1" ht="15.75"/>
    <row r="2812" s="69" customFormat="1" ht="15.75"/>
    <row r="2813" s="69" customFormat="1" ht="15.75"/>
    <row r="2814" s="69" customFormat="1" ht="15.75"/>
    <row r="2815" s="69" customFormat="1" ht="15.75"/>
    <row r="2816" s="69" customFormat="1" ht="15.75"/>
    <row r="2817" s="69" customFormat="1" ht="15.75"/>
    <row r="2818" s="69" customFormat="1" ht="15.75"/>
    <row r="2819" s="69" customFormat="1" ht="15.75"/>
    <row r="2820" s="69" customFormat="1" ht="15.75"/>
    <row r="2821" s="69" customFormat="1" ht="15.75"/>
    <row r="2822" s="69" customFormat="1" ht="15.75"/>
    <row r="2823" s="69" customFormat="1" ht="15.75"/>
    <row r="2824" s="69" customFormat="1" ht="15.75"/>
    <row r="2825" s="69" customFormat="1" ht="15.75"/>
    <row r="2826" s="69" customFormat="1" ht="15.75"/>
    <row r="2827" s="69" customFormat="1" ht="15.75"/>
    <row r="2828" s="69" customFormat="1" ht="15.75"/>
    <row r="2829" s="69" customFormat="1" ht="15.75"/>
    <row r="2830" s="69" customFormat="1" ht="15.75"/>
    <row r="2831" s="69" customFormat="1" ht="15.75"/>
    <row r="2832" s="69" customFormat="1" ht="15.75"/>
    <row r="2833" s="69" customFormat="1" ht="15.75"/>
    <row r="2834" s="69" customFormat="1" ht="15.75"/>
    <row r="2835" s="69" customFormat="1" ht="15.75"/>
    <row r="2836" s="69" customFormat="1" ht="15.75"/>
    <row r="2837" s="69" customFormat="1" ht="15.75"/>
    <row r="2838" s="69" customFormat="1" ht="15.75"/>
    <row r="2839" s="69" customFormat="1" ht="15.75"/>
    <row r="2840" s="69" customFormat="1" ht="15.75"/>
    <row r="2841" s="69" customFormat="1" ht="15.75"/>
    <row r="2842" s="69" customFormat="1" ht="15.75"/>
    <row r="2843" s="69" customFormat="1" ht="15.75"/>
    <row r="2844" s="69" customFormat="1" ht="15.75"/>
    <row r="2845" s="69" customFormat="1" ht="15.75"/>
    <row r="2846" s="69" customFormat="1" ht="15.75"/>
    <row r="2847" s="69" customFormat="1" ht="15.75"/>
    <row r="2848" s="69" customFormat="1" ht="15.75"/>
    <row r="2849" s="69" customFormat="1" ht="15.75"/>
    <row r="2850" s="69" customFormat="1" ht="15.75"/>
    <row r="2851" s="69" customFormat="1" ht="15.75"/>
    <row r="2852" s="69" customFormat="1" ht="15.75"/>
    <row r="2853" s="69" customFormat="1" ht="15.75"/>
    <row r="2854" s="69" customFormat="1" ht="15.75"/>
    <row r="2855" s="69" customFormat="1" ht="15.75"/>
    <row r="2856" s="69" customFormat="1" ht="15.75"/>
    <row r="2857" s="69" customFormat="1" ht="15.75"/>
    <row r="2858" s="69" customFormat="1" ht="15.75"/>
    <row r="2859" s="69" customFormat="1" ht="15.75"/>
    <row r="2860" s="69" customFormat="1" ht="15.75"/>
    <row r="2861" s="69" customFormat="1" ht="15.75"/>
    <row r="2862" s="69" customFormat="1" ht="15.75"/>
    <row r="2863" s="69" customFormat="1" ht="15.75"/>
    <row r="2864" s="69" customFormat="1" ht="15.75"/>
    <row r="2865" s="69" customFormat="1" ht="15.75"/>
    <row r="2866" s="69" customFormat="1" ht="15.75"/>
    <row r="2867" s="69" customFormat="1" ht="15.75"/>
    <row r="2868" s="69" customFormat="1" ht="15.75"/>
    <row r="2869" s="69" customFormat="1" ht="15.75"/>
    <row r="2870" s="69" customFormat="1" ht="15.75"/>
    <row r="2871" s="69" customFormat="1" ht="15.75"/>
    <row r="2872" s="69" customFormat="1" ht="15.75"/>
    <row r="2873" s="69" customFormat="1" ht="15.75"/>
    <row r="2874" s="69" customFormat="1" ht="15.75"/>
    <row r="2875" s="69" customFormat="1" ht="15.75"/>
    <row r="2876" s="69" customFormat="1" ht="15.75"/>
    <row r="2877" s="69" customFormat="1" ht="15.75"/>
    <row r="2878" s="69" customFormat="1" ht="15.75"/>
    <row r="2879" s="69" customFormat="1" ht="15.75"/>
    <row r="2880" s="69" customFormat="1" ht="15.75"/>
    <row r="2881" s="69" customFormat="1" ht="15.75"/>
    <row r="2882" s="69" customFormat="1" ht="15.75"/>
    <row r="2883" s="69" customFormat="1" ht="15.75"/>
    <row r="2884" s="69" customFormat="1" ht="15.75"/>
    <row r="2885" s="69" customFormat="1" ht="15.75"/>
    <row r="2886" s="69" customFormat="1" ht="15.75"/>
    <row r="2887" s="69" customFormat="1" ht="15.75"/>
    <row r="2888" s="69" customFormat="1" ht="15.75"/>
    <row r="2889" s="69" customFormat="1" ht="15.75"/>
    <row r="2890" s="69" customFormat="1" ht="15.75"/>
    <row r="2891" s="69" customFormat="1" ht="15.75"/>
    <row r="2892" s="69" customFormat="1" ht="15.75"/>
    <row r="2893" s="69" customFormat="1" ht="15.75"/>
    <row r="2894" s="69" customFormat="1" ht="15.75"/>
    <row r="2895" s="69" customFormat="1" ht="15.75"/>
    <row r="2896" s="69" customFormat="1" ht="15.75"/>
    <row r="2897" s="69" customFormat="1" ht="15.75"/>
    <row r="2898" s="69" customFormat="1" ht="15.75"/>
    <row r="2899" s="69" customFormat="1" ht="15.75"/>
    <row r="2900" s="69" customFormat="1" ht="15.75"/>
    <row r="2901" s="69" customFormat="1" ht="15.75"/>
    <row r="2902" s="69" customFormat="1" ht="15.75"/>
    <row r="2903" s="69" customFormat="1" ht="15.75"/>
    <row r="2904" s="69" customFormat="1" ht="15.75"/>
    <row r="2905" s="69" customFormat="1" ht="15.75"/>
    <row r="2906" s="69" customFormat="1" ht="15.75"/>
    <row r="2907" s="69" customFormat="1" ht="15.75"/>
    <row r="2908" s="69" customFormat="1" ht="15.75"/>
    <row r="2909" s="69" customFormat="1" ht="15.75"/>
    <row r="2910" s="69" customFormat="1" ht="15.75"/>
    <row r="2911" s="69" customFormat="1" ht="15.75"/>
    <row r="2912" s="69" customFormat="1" ht="15.75"/>
    <row r="2913" s="69" customFormat="1" ht="15.75"/>
    <row r="2914" s="69" customFormat="1" ht="15.75"/>
    <row r="2915" s="69" customFormat="1" ht="15.75"/>
    <row r="2916" s="69" customFormat="1" ht="15.75"/>
    <row r="2917" s="69" customFormat="1" ht="15.75"/>
    <row r="2918" s="69" customFormat="1" ht="15.75"/>
    <row r="2919" s="69" customFormat="1" ht="15.75"/>
    <row r="2920" s="69" customFormat="1" ht="15.75"/>
    <row r="2921" s="69" customFormat="1" ht="15.75"/>
    <row r="2922" s="69" customFormat="1" ht="15.75"/>
    <row r="2923" s="69" customFormat="1" ht="15.75"/>
    <row r="2924" s="69" customFormat="1" ht="15.75"/>
    <row r="2925" s="69" customFormat="1" ht="15.75"/>
    <row r="2926" s="69" customFormat="1" ht="15.75"/>
    <row r="2927" s="69" customFormat="1" ht="15.75"/>
    <row r="2928" s="69" customFormat="1" ht="15.75"/>
    <row r="2929" s="69" customFormat="1" ht="15.75"/>
    <row r="2930" s="69" customFormat="1" ht="15.75"/>
    <row r="2931" s="69" customFormat="1" ht="15.75"/>
    <row r="2932" s="69" customFormat="1" ht="15.75"/>
    <row r="2933" s="69" customFormat="1" ht="15.75"/>
    <row r="2934" s="69" customFormat="1" ht="15.75"/>
    <row r="2935" s="69" customFormat="1" ht="15.75"/>
    <row r="2936" s="69" customFormat="1" ht="15.75"/>
    <row r="2937" s="69" customFormat="1" ht="15.75"/>
    <row r="2938" s="69" customFormat="1" ht="15.75"/>
    <row r="2939" s="69" customFormat="1" ht="15.75"/>
    <row r="2940" s="69" customFormat="1" ht="15.75"/>
    <row r="2941" s="69" customFormat="1" ht="15.75"/>
    <row r="2942" s="69" customFormat="1" ht="15.75"/>
    <row r="2943" s="69" customFormat="1" ht="15.75"/>
    <row r="2944" s="69" customFormat="1" ht="15.75"/>
    <row r="2945" s="69" customFormat="1" ht="15.75"/>
    <row r="2946" s="69" customFormat="1" ht="15.75"/>
    <row r="2947" s="69" customFormat="1" ht="15.75"/>
    <row r="2948" s="69" customFormat="1" ht="15.75"/>
    <row r="2949" s="69" customFormat="1" ht="15.75"/>
    <row r="2950" s="69" customFormat="1" ht="15.75"/>
    <row r="2951" s="69" customFormat="1" ht="15.75"/>
    <row r="2952" s="69" customFormat="1" ht="15.75"/>
    <row r="2953" s="69" customFormat="1" ht="15.75"/>
    <row r="2954" s="69" customFormat="1" ht="15.75"/>
    <row r="2955" s="69" customFormat="1" ht="15.75"/>
    <row r="2956" s="69" customFormat="1" ht="15.75"/>
    <row r="2957" s="69" customFormat="1" ht="15.75"/>
    <row r="2958" s="69" customFormat="1" ht="15.75"/>
    <row r="2959" s="69" customFormat="1" ht="15.75"/>
    <row r="2960" s="69" customFormat="1" ht="15.75"/>
    <row r="2961" s="69" customFormat="1" ht="15.75"/>
    <row r="2962" s="69" customFormat="1" ht="15.75"/>
    <row r="2963" s="69" customFormat="1" ht="15.75"/>
    <row r="2964" s="69" customFormat="1" ht="15.75"/>
    <row r="2965" s="69" customFormat="1" ht="15.75"/>
    <row r="2966" s="69" customFormat="1" ht="15.75"/>
    <row r="2967" s="69" customFormat="1" ht="15.75"/>
    <row r="2968" s="69" customFormat="1" ht="15.75"/>
    <row r="2969" s="69" customFormat="1" ht="15.75"/>
    <row r="2970" s="69" customFormat="1" ht="15.75"/>
    <row r="2971" s="69" customFormat="1" ht="15.75"/>
    <row r="2972" s="69" customFormat="1" ht="15.75"/>
    <row r="2973" s="69" customFormat="1" ht="15.75"/>
    <row r="2974" s="69" customFormat="1" ht="15.75"/>
    <row r="2975" s="69" customFormat="1" ht="15.75"/>
    <row r="2976" s="69" customFormat="1" ht="15.75"/>
    <row r="2977" s="69" customFormat="1" ht="15.75"/>
    <row r="2978" s="69" customFormat="1" ht="15.75"/>
    <row r="2979" s="69" customFormat="1" ht="15.75"/>
    <row r="2980" s="69" customFormat="1" ht="15.75"/>
    <row r="2981" s="69" customFormat="1" ht="15.75"/>
    <row r="2982" s="69" customFormat="1" ht="15.75"/>
    <row r="2983" s="69" customFormat="1" ht="15.75"/>
    <row r="2984" s="69" customFormat="1" ht="15.75"/>
    <row r="2985" s="69" customFormat="1" ht="15.75"/>
    <row r="2986" s="69" customFormat="1" ht="15.75"/>
    <row r="2987" s="69" customFormat="1" ht="15.75"/>
    <row r="2988" s="69" customFormat="1" ht="15.75"/>
    <row r="2989" s="69" customFormat="1" ht="15.75"/>
    <row r="2990" s="69" customFormat="1" ht="15.75"/>
    <row r="2991" s="69" customFormat="1" ht="15.75"/>
    <row r="2992" s="69" customFormat="1" ht="15.75"/>
    <row r="2993" s="69" customFormat="1" ht="15.75"/>
    <row r="2994" s="69" customFormat="1" ht="15.75"/>
    <row r="2995" s="69" customFormat="1" ht="15.75"/>
    <row r="2996" s="69" customFormat="1" ht="15.75"/>
    <row r="2997" s="69" customFormat="1" ht="15.75"/>
    <row r="2998" s="69" customFormat="1" ht="15.75"/>
    <row r="2999" s="69" customFormat="1" ht="15.75"/>
    <row r="3000" s="69" customFormat="1" ht="15.75"/>
    <row r="3001" s="69" customFormat="1" ht="15.75"/>
    <row r="3002" s="69" customFormat="1" ht="15.75"/>
    <row r="3003" s="69" customFormat="1" ht="15.75"/>
    <row r="3004" s="69" customFormat="1" ht="15.75"/>
    <row r="3005" s="69" customFormat="1" ht="15.75"/>
    <row r="3006" s="69" customFormat="1" ht="15.75"/>
    <row r="3007" s="69" customFormat="1" ht="15.75"/>
    <row r="3008" s="69" customFormat="1" ht="15.75"/>
    <row r="3009" s="69" customFormat="1" ht="15.75"/>
    <row r="3010" s="69" customFormat="1" ht="15.75"/>
    <row r="3011" s="69" customFormat="1" ht="15.75"/>
    <row r="3012" s="69" customFormat="1" ht="15.75"/>
    <row r="3013" s="69" customFormat="1" ht="15.75"/>
    <row r="3014" s="69" customFormat="1" ht="15.75"/>
    <row r="3015" s="69" customFormat="1" ht="15.75"/>
  </sheetData>
  <mergeCells count="5">
    <mergeCell ref="A32:H32"/>
    <mergeCell ref="A1:H1"/>
    <mergeCell ref="A3:H3"/>
    <mergeCell ref="A4:H4"/>
    <mergeCell ref="A5:H5"/>
  </mergeCells>
  <printOptions horizontalCentered="1"/>
  <pageMargins left="0.75" right="0.75" top="1" bottom="1" header="0.6" footer="0.5"/>
  <pageSetup horizontalDpi="600" verticalDpi="600" orientation="landscape" r:id="rId1"/>
  <headerFooter alignWithMargins="0">
    <oddHeader>&amp;R&amp;"Arial,Regular"&amp;8SREB-State Data Exchange</oddHeader>
    <oddFooter>&amp;C&amp;"ARIAL,Regular"&amp;10 163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jmarks</dc:creator>
  <cp:keywords/>
  <dc:description/>
  <cp:lastModifiedBy>JLM</cp:lastModifiedBy>
  <cp:lastPrinted>2006-12-01T20:31:23Z</cp:lastPrinted>
  <dcterms:created xsi:type="dcterms:W3CDTF">1999-02-24T13:58:47Z</dcterms:created>
  <dcterms:modified xsi:type="dcterms:W3CDTF">2006-12-01T20:33:31Z</dcterms:modified>
  <cp:category/>
  <cp:version/>
  <cp:contentType/>
  <cp:contentStatus/>
</cp:coreProperties>
</file>