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bookViews>
    <workbookView xWindow="10095" yWindow="405" windowWidth="16920" windowHeight="11835"/>
  </bookViews>
  <sheets>
    <sheet name="Tuit Mid-Yr Increases-Table 133" sheetId="31" r:id="rId1"/>
    <sheet name="NEW...Tabs 134-141" sheetId="19" r:id="rId2"/>
    <sheet name="OLD...Tables 98-105" sheetId="32" r:id="rId3"/>
    <sheet name="Summary Medians" sheetId="28" r:id="rId4"/>
    <sheet name="Tuition &amp; Fees Data" sheetId="12" r:id="rId5"/>
    <sheet name="Tuition &amp; Fees Policies A" sheetId="29" r:id="rId6"/>
    <sheet name="Tuition &amp; Fees Policies B" sheetId="30" r:id="rId7"/>
  </sheets>
  <definedNames>
    <definedName name="APPHEAD" localSheetId="2">#REF!</definedName>
    <definedName name="APPHEAD" localSheetId="3">#REF!</definedName>
    <definedName name="APPHEAD">#REF!</definedName>
    <definedName name="CHHEAD" localSheetId="2">#REF!</definedName>
    <definedName name="CHHEAD" localSheetId="3">#REF!</definedName>
    <definedName name="CHHEAD">#REF!</definedName>
    <definedName name="PAGE_17" localSheetId="2">#REF!</definedName>
    <definedName name="PAGE_17" localSheetId="3">#REF!</definedName>
    <definedName name="PAGE_17">#REF!</definedName>
    <definedName name="PAGE1" localSheetId="2">#REF!</definedName>
    <definedName name="PAGE1" localSheetId="3">#REF!</definedName>
    <definedName name="PAGE1">#REF!</definedName>
    <definedName name="PAGE10" localSheetId="2">#REF!</definedName>
    <definedName name="PAGE10" localSheetId="3">#REF!</definedName>
    <definedName name="PAGE10">#REF!</definedName>
    <definedName name="PAGE11" localSheetId="2">#REF!</definedName>
    <definedName name="PAGE11" localSheetId="3">#REF!</definedName>
    <definedName name="PAGE11">#REF!</definedName>
    <definedName name="PAGE12" localSheetId="2">#REF!</definedName>
    <definedName name="PAGE12" localSheetId="3">#REF!</definedName>
    <definedName name="PAGE12">#REF!</definedName>
    <definedName name="PAGE13" localSheetId="2">#REF!</definedName>
    <definedName name="PAGE13" localSheetId="3">#REF!</definedName>
    <definedName name="PAGE13">#REF!</definedName>
    <definedName name="PAGE14" localSheetId="2">#REF!</definedName>
    <definedName name="PAGE14" localSheetId="3">#REF!</definedName>
    <definedName name="PAGE14">#REF!</definedName>
    <definedName name="PAGE15" localSheetId="2">#REF!</definedName>
    <definedName name="PAGE15" localSheetId="3">#REF!</definedName>
    <definedName name="PAGE15">#REF!</definedName>
    <definedName name="PAGE16" localSheetId="2">#REF!</definedName>
    <definedName name="PAGE16" localSheetId="3">#REF!</definedName>
    <definedName name="PAGE16">#REF!</definedName>
    <definedName name="PAGE17" localSheetId="2">#REF!</definedName>
    <definedName name="PAGE17" localSheetId="3">#REF!</definedName>
    <definedName name="PAGE17">#REF!</definedName>
    <definedName name="PAGE18" localSheetId="2">#REF!</definedName>
    <definedName name="PAGE18" localSheetId="3">#REF!</definedName>
    <definedName name="PAGE18">#REF!</definedName>
    <definedName name="PAGE19" localSheetId="2">#REF!</definedName>
    <definedName name="PAGE19" localSheetId="3">#REF!</definedName>
    <definedName name="PAGE19">#REF!</definedName>
    <definedName name="PAGE2" localSheetId="2">#REF!</definedName>
    <definedName name="PAGE2" localSheetId="3">#REF!</definedName>
    <definedName name="PAGE2">#REF!</definedName>
    <definedName name="PAGE20" localSheetId="2">#REF!</definedName>
    <definedName name="PAGE20" localSheetId="3">#REF!</definedName>
    <definedName name="PAGE20">#REF!</definedName>
    <definedName name="PAGE3" localSheetId="2">#REF!</definedName>
    <definedName name="PAGE3" localSheetId="3">#REF!</definedName>
    <definedName name="PAGE3">#REF!</definedName>
    <definedName name="PAGE4" localSheetId="2">#REF!</definedName>
    <definedName name="PAGE4" localSheetId="3">#REF!</definedName>
    <definedName name="PAGE4">#REF!</definedName>
    <definedName name="PAGE5" localSheetId="2">#REF!</definedName>
    <definedName name="PAGE5" localSheetId="3">#REF!</definedName>
    <definedName name="PAGE5">#REF!</definedName>
    <definedName name="PAGE6" localSheetId="2">#REF!</definedName>
    <definedName name="PAGE6" localSheetId="3">#REF!</definedName>
    <definedName name="PAGE6">#REF!</definedName>
    <definedName name="PAGE7" localSheetId="2">#REF!</definedName>
    <definedName name="PAGE7" localSheetId="3">#REF!</definedName>
    <definedName name="PAGE7">#REF!</definedName>
    <definedName name="PAGE8" localSheetId="2">#REF!</definedName>
    <definedName name="PAGE8" localSheetId="3">#REF!</definedName>
    <definedName name="PAGE8">#REF!</definedName>
    <definedName name="PAGE9" localSheetId="2">#REF!</definedName>
    <definedName name="PAGE9" localSheetId="3">#REF!</definedName>
    <definedName name="PAGE9">#REF!</definedName>
    <definedName name="PART1" localSheetId="2">#REF!</definedName>
    <definedName name="PART1" localSheetId="3">#REF!</definedName>
    <definedName name="PART1">#REF!</definedName>
    <definedName name="PART2" localSheetId="2">#REF!</definedName>
    <definedName name="PART2" localSheetId="3">#REF!</definedName>
    <definedName name="PART2">#REF!</definedName>
    <definedName name="PART3" localSheetId="2">#REF!</definedName>
    <definedName name="PART3" localSheetId="3">#REF!</definedName>
    <definedName name="PART3">#REF!</definedName>
    <definedName name="PART4A" localSheetId="2">#REF!</definedName>
    <definedName name="PART4A" localSheetId="3">#REF!</definedName>
    <definedName name="PART4A">#REF!</definedName>
    <definedName name="PART4B" localSheetId="2">#REF!</definedName>
    <definedName name="PART4B" localSheetId="3">#REF!</definedName>
    <definedName name="PART4B">#REF!</definedName>
    <definedName name="PART5" localSheetId="2">#REF!</definedName>
    <definedName name="PART5" localSheetId="3">#REF!</definedName>
    <definedName name="PART5">#REF!</definedName>
    <definedName name="PART6A" localSheetId="2">#REF!</definedName>
    <definedName name="PART6A" localSheetId="3">#REF!</definedName>
    <definedName name="PART6A">#REF!</definedName>
    <definedName name="PART6B" localSheetId="2">#REF!</definedName>
    <definedName name="PART6B" localSheetId="3">#REF!</definedName>
    <definedName name="PART6B">#REF!</definedName>
    <definedName name="PART6C" localSheetId="2">#REF!</definedName>
    <definedName name="PART6C" localSheetId="3">#REF!</definedName>
    <definedName name="PART6C">#REF!</definedName>
    <definedName name="PART7B" localSheetId="2">#REF!</definedName>
    <definedName name="PART7B" localSheetId="3">#REF!</definedName>
    <definedName name="PART7B">#REF!</definedName>
    <definedName name="PART7C" localSheetId="2">#REF!</definedName>
    <definedName name="PART7C" localSheetId="3">#REF!</definedName>
    <definedName name="PART7C">#REF!</definedName>
    <definedName name="PART8" localSheetId="2">#REF!</definedName>
    <definedName name="PART8" localSheetId="3">#REF!</definedName>
    <definedName name="PART8">#REF!</definedName>
    <definedName name="_xlnm.Print_Area" localSheetId="1">'NEW...Tabs 134-141'!$A$1:$J$259</definedName>
    <definedName name="_xlnm.Print_Area" localSheetId="2">'OLD...Tables 98-105'!$A$1:$J$264</definedName>
    <definedName name="_xlnm.Print_Area" localSheetId="3">'Summary Medians'!$C$3:$BD$274</definedName>
    <definedName name="_xlnm.Print_Area" localSheetId="0">'Tuit Mid-Yr Increases-Table 133'!$A$1:$M$36</definedName>
    <definedName name="_xlnm.Print_Area" localSheetId="5">'Tuition &amp; Fees Policies A'!$A$4:$E$28</definedName>
    <definedName name="_xlnm.Print_Area" localSheetId="6">'Tuition &amp; Fees Policies B'!$A$4:$G$26</definedName>
    <definedName name="_xlnm.Print_Area">#REF!</definedName>
    <definedName name="_xlnm.Print_Titles" localSheetId="3">'Summary Medians'!$A:$B,'Summary Medians'!$1:$2</definedName>
    <definedName name="_xlnm.Print_Titles" localSheetId="5">'Tuition &amp; Fees Policies A'!$3:$4</definedName>
    <definedName name="_xlnm.Print_Titles" localSheetId="6">'Tuition &amp; Fees Policies B'!$2:$3</definedName>
    <definedName name="RATIONALE" localSheetId="2">#REF!</definedName>
    <definedName name="RATIONALE" localSheetId="3">#REF!</definedName>
    <definedName name="RATIONALE">#REF!</definedName>
    <definedName name="RATIONALE2" localSheetId="2">#REF!</definedName>
    <definedName name="RATIONALE2" localSheetId="3">#REF!</definedName>
    <definedName name="RATIONALE2">#REF!</definedName>
    <definedName name="SALHEAD" localSheetId="2">#REF!</definedName>
    <definedName name="SALHEAD" localSheetId="3">#REF!</definedName>
    <definedName name="SALHEAD">#REF!</definedName>
  </definedNames>
  <calcPr calcId="125725"/>
</workbook>
</file>

<file path=xl/calcChain.xml><?xml version="1.0" encoding="utf-8"?>
<calcChain xmlns="http://schemas.openxmlformats.org/spreadsheetml/2006/main">
  <c r="J64" i="32"/>
  <c r="I64"/>
  <c r="H64"/>
  <c r="G64"/>
  <c r="F64"/>
  <c r="J63"/>
  <c r="I63"/>
  <c r="H63"/>
  <c r="G63"/>
  <c r="F63"/>
  <c r="J62"/>
  <c r="I62"/>
  <c r="H62"/>
  <c r="G62"/>
  <c r="F62"/>
  <c r="J61"/>
  <c r="I61"/>
  <c r="H61"/>
  <c r="G61"/>
  <c r="F61"/>
  <c r="J59"/>
  <c r="I59"/>
  <c r="H59"/>
  <c r="G59"/>
  <c r="F59"/>
  <c r="J58"/>
  <c r="I58"/>
  <c r="H58"/>
  <c r="G58"/>
  <c r="F58"/>
  <c r="J57"/>
  <c r="I57"/>
  <c r="H57"/>
  <c r="G57"/>
  <c r="F57"/>
  <c r="J56"/>
  <c r="I56"/>
  <c r="H56"/>
  <c r="G56"/>
  <c r="F56"/>
  <c r="J54"/>
  <c r="I54"/>
  <c r="H54"/>
  <c r="G54"/>
  <c r="F54"/>
  <c r="J53"/>
  <c r="I53"/>
  <c r="H53"/>
  <c r="G53"/>
  <c r="F53"/>
  <c r="J52"/>
  <c r="I52"/>
  <c r="H52"/>
  <c r="G52"/>
  <c r="F52"/>
  <c r="J51"/>
  <c r="I51"/>
  <c r="H51"/>
  <c r="G51"/>
  <c r="F51"/>
  <c r="J49"/>
  <c r="I49"/>
  <c r="H49"/>
  <c r="G49"/>
  <c r="F49"/>
  <c r="J48"/>
  <c r="I48"/>
  <c r="H48"/>
  <c r="G48"/>
  <c r="F48"/>
  <c r="J47"/>
  <c r="I47"/>
  <c r="H47"/>
  <c r="G47"/>
  <c r="F47"/>
  <c r="J46"/>
  <c r="I46"/>
  <c r="H46"/>
  <c r="G46"/>
  <c r="F46"/>
  <c r="J44"/>
  <c r="I44"/>
  <c r="H44"/>
  <c r="G44"/>
  <c r="F44"/>
  <c r="H261"/>
  <c r="H260"/>
  <c r="H259"/>
  <c r="H258"/>
  <c r="H256"/>
  <c r="H255"/>
  <c r="H254"/>
  <c r="H253"/>
  <c r="H251"/>
  <c r="H250"/>
  <c r="H249"/>
  <c r="H248"/>
  <c r="H245"/>
  <c r="H244"/>
  <c r="H243"/>
  <c r="H241"/>
  <c r="G261"/>
  <c r="G260"/>
  <c r="G259"/>
  <c r="G258"/>
  <c r="G256"/>
  <c r="G255"/>
  <c r="G254"/>
  <c r="G253"/>
  <c r="G251"/>
  <c r="G250"/>
  <c r="G249"/>
  <c r="G248"/>
  <c r="G246"/>
  <c r="G245"/>
  <c r="G244"/>
  <c r="G243"/>
  <c r="G241"/>
  <c r="F261"/>
  <c r="F260"/>
  <c r="F259"/>
  <c r="F258"/>
  <c r="F256"/>
  <c r="F255"/>
  <c r="F254"/>
  <c r="F253"/>
  <c r="F251"/>
  <c r="F250"/>
  <c r="F249"/>
  <c r="F248"/>
  <c r="F246"/>
  <c r="F245"/>
  <c r="F244"/>
  <c r="F243"/>
  <c r="F241"/>
  <c r="E261"/>
  <c r="E260"/>
  <c r="E259"/>
  <c r="E258"/>
  <c r="E256"/>
  <c r="E255"/>
  <c r="E254"/>
  <c r="E253"/>
  <c r="E251"/>
  <c r="E250"/>
  <c r="E249"/>
  <c r="E248"/>
  <c r="E246"/>
  <c r="E245"/>
  <c r="E244"/>
  <c r="E243"/>
  <c r="E241"/>
  <c r="D261"/>
  <c r="D260"/>
  <c r="D259"/>
  <c r="D258"/>
  <c r="D256"/>
  <c r="D255"/>
  <c r="D254"/>
  <c r="D253"/>
  <c r="D251"/>
  <c r="D250"/>
  <c r="D249"/>
  <c r="D248"/>
  <c r="D246"/>
  <c r="D243"/>
  <c r="D241"/>
  <c r="C261"/>
  <c r="C260"/>
  <c r="C259"/>
  <c r="C258"/>
  <c r="C256"/>
  <c r="C255"/>
  <c r="C254"/>
  <c r="C253"/>
  <c r="C251"/>
  <c r="C250"/>
  <c r="C249"/>
  <c r="C248"/>
  <c r="C246"/>
  <c r="C245"/>
  <c r="C244"/>
  <c r="C243"/>
  <c r="C241"/>
  <c r="H228"/>
  <c r="H227"/>
  <c r="H226"/>
  <c r="H225"/>
  <c r="H223"/>
  <c r="H222"/>
  <c r="H221"/>
  <c r="H220"/>
  <c r="H218"/>
  <c r="H217"/>
  <c r="H216"/>
  <c r="H215"/>
  <c r="H213"/>
  <c r="H212"/>
  <c r="H211"/>
  <c r="H210"/>
  <c r="H208"/>
  <c r="G228"/>
  <c r="G227"/>
  <c r="G226"/>
  <c r="G225"/>
  <c r="G223"/>
  <c r="G222"/>
  <c r="G221"/>
  <c r="G220"/>
  <c r="G218"/>
  <c r="G217"/>
  <c r="G216"/>
  <c r="G215"/>
  <c r="G213"/>
  <c r="G212"/>
  <c r="G211"/>
  <c r="G210"/>
  <c r="G208"/>
  <c r="F228"/>
  <c r="F227"/>
  <c r="F226"/>
  <c r="F225"/>
  <c r="F223"/>
  <c r="F222"/>
  <c r="F221"/>
  <c r="F220"/>
  <c r="F218"/>
  <c r="F217"/>
  <c r="F216"/>
  <c r="F215"/>
  <c r="F213"/>
  <c r="F212"/>
  <c r="F211"/>
  <c r="F210"/>
  <c r="F208"/>
  <c r="E228"/>
  <c r="E227"/>
  <c r="E226"/>
  <c r="E225"/>
  <c r="E223"/>
  <c r="E222"/>
  <c r="E221"/>
  <c r="E220"/>
  <c r="E218"/>
  <c r="E217"/>
  <c r="E216"/>
  <c r="E215"/>
  <c r="E213"/>
  <c r="E212"/>
  <c r="E211"/>
  <c r="E210"/>
  <c r="E208"/>
  <c r="D228"/>
  <c r="D226"/>
  <c r="D225"/>
  <c r="D223"/>
  <c r="D222"/>
  <c r="D221"/>
  <c r="D220"/>
  <c r="D218"/>
  <c r="D217"/>
  <c r="D216"/>
  <c r="D215"/>
  <c r="D212"/>
  <c r="D211"/>
  <c r="D210"/>
  <c r="D208"/>
  <c r="C228"/>
  <c r="C227"/>
  <c r="C226"/>
  <c r="C225"/>
  <c r="C223"/>
  <c r="C222"/>
  <c r="C221"/>
  <c r="C220"/>
  <c r="C218"/>
  <c r="C217"/>
  <c r="C216"/>
  <c r="C215"/>
  <c r="C213"/>
  <c r="C212"/>
  <c r="C211"/>
  <c r="C210"/>
  <c r="C208"/>
  <c r="B261"/>
  <c r="B260"/>
  <c r="B259"/>
  <c r="B258"/>
  <c r="B256"/>
  <c r="B255"/>
  <c r="B254"/>
  <c r="B253"/>
  <c r="B251"/>
  <c r="B250"/>
  <c r="B249"/>
  <c r="B248"/>
  <c r="B246"/>
  <c r="B245"/>
  <c r="B244"/>
  <c r="B243"/>
  <c r="B241"/>
  <c r="B228"/>
  <c r="B227"/>
  <c r="B226"/>
  <c r="B225"/>
  <c r="B223"/>
  <c r="B222"/>
  <c r="B221"/>
  <c r="B220"/>
  <c r="B218"/>
  <c r="B217"/>
  <c r="B216"/>
  <c r="B215"/>
  <c r="B213"/>
  <c r="B212"/>
  <c r="B211"/>
  <c r="B210"/>
  <c r="B208"/>
  <c r="H194"/>
  <c r="G194"/>
  <c r="F194"/>
  <c r="E194"/>
  <c r="D194"/>
  <c r="C194"/>
  <c r="B194"/>
  <c r="H193"/>
  <c r="G193"/>
  <c r="F193"/>
  <c r="E193"/>
  <c r="D193"/>
  <c r="C193"/>
  <c r="B193"/>
  <c r="H192"/>
  <c r="G192"/>
  <c r="F192"/>
  <c r="E192"/>
  <c r="D192"/>
  <c r="C192"/>
  <c r="B192"/>
  <c r="H190"/>
  <c r="G190"/>
  <c r="F190"/>
  <c r="E190"/>
  <c r="D190"/>
  <c r="C190"/>
  <c r="B190"/>
  <c r="H189"/>
  <c r="G189"/>
  <c r="F189"/>
  <c r="E189"/>
  <c r="D189"/>
  <c r="C189"/>
  <c r="B189"/>
  <c r="H188"/>
  <c r="G188"/>
  <c r="F188"/>
  <c r="E188"/>
  <c r="D188"/>
  <c r="C188"/>
  <c r="B188"/>
  <c r="H187"/>
  <c r="G187"/>
  <c r="F187"/>
  <c r="E187"/>
  <c r="D187"/>
  <c r="C187"/>
  <c r="B187"/>
  <c r="H185"/>
  <c r="G185"/>
  <c r="F185"/>
  <c r="E185"/>
  <c r="D185"/>
  <c r="C185"/>
  <c r="B185"/>
  <c r="H184"/>
  <c r="G184"/>
  <c r="F184"/>
  <c r="E184"/>
  <c r="D184"/>
  <c r="C184"/>
  <c r="B184"/>
  <c r="H183"/>
  <c r="G183"/>
  <c r="F183"/>
  <c r="E183"/>
  <c r="D183"/>
  <c r="C183"/>
  <c r="B183"/>
  <c r="H182"/>
  <c r="G182"/>
  <c r="F182"/>
  <c r="E182"/>
  <c r="D182"/>
  <c r="C182"/>
  <c r="B182"/>
  <c r="H180"/>
  <c r="G180"/>
  <c r="F180"/>
  <c r="E180"/>
  <c r="D180"/>
  <c r="C180"/>
  <c r="B180"/>
  <c r="H179"/>
  <c r="G179"/>
  <c r="F179"/>
  <c r="E179"/>
  <c r="D179"/>
  <c r="C179"/>
  <c r="B179"/>
  <c r="H178"/>
  <c r="G178"/>
  <c r="F178"/>
  <c r="E178"/>
  <c r="D178"/>
  <c r="C178"/>
  <c r="B178"/>
  <c r="H177"/>
  <c r="G177"/>
  <c r="F177"/>
  <c r="E177"/>
  <c r="D177"/>
  <c r="C177"/>
  <c r="B177"/>
  <c r="H175"/>
  <c r="G175"/>
  <c r="F175"/>
  <c r="E175"/>
  <c r="D175"/>
  <c r="C175"/>
  <c r="B175"/>
  <c r="H162"/>
  <c r="G162"/>
  <c r="F162"/>
  <c r="E162"/>
  <c r="D162"/>
  <c r="C162"/>
  <c r="B162"/>
  <c r="H161"/>
  <c r="G161"/>
  <c r="F161"/>
  <c r="E161"/>
  <c r="D161"/>
  <c r="C161"/>
  <c r="B161"/>
  <c r="H160"/>
  <c r="G160"/>
  <c r="F160"/>
  <c r="E160"/>
  <c r="D160"/>
  <c r="C160"/>
  <c r="B160"/>
  <c r="H159"/>
  <c r="G159"/>
  <c r="F159"/>
  <c r="E159"/>
  <c r="D159"/>
  <c r="C159"/>
  <c r="B159"/>
  <c r="H157"/>
  <c r="G157"/>
  <c r="F157"/>
  <c r="E157"/>
  <c r="D157"/>
  <c r="C157"/>
  <c r="B157"/>
  <c r="H156"/>
  <c r="G156"/>
  <c r="F156"/>
  <c r="E156"/>
  <c r="D156"/>
  <c r="C156"/>
  <c r="B156"/>
  <c r="H155"/>
  <c r="G155"/>
  <c r="F155"/>
  <c r="E155"/>
  <c r="D155"/>
  <c r="C155"/>
  <c r="B155"/>
  <c r="H154"/>
  <c r="G154"/>
  <c r="F154"/>
  <c r="E154"/>
  <c r="D154"/>
  <c r="C154"/>
  <c r="B154"/>
  <c r="H152"/>
  <c r="G152"/>
  <c r="F152"/>
  <c r="E152"/>
  <c r="D152"/>
  <c r="C152"/>
  <c r="B152"/>
  <c r="H151"/>
  <c r="G151"/>
  <c r="F151"/>
  <c r="E151"/>
  <c r="D151"/>
  <c r="C151"/>
  <c r="B151"/>
  <c r="H150"/>
  <c r="G150"/>
  <c r="F150"/>
  <c r="E150"/>
  <c r="D150"/>
  <c r="C150"/>
  <c r="B150"/>
  <c r="H149"/>
  <c r="G149"/>
  <c r="F149"/>
  <c r="E149"/>
  <c r="D149"/>
  <c r="C149"/>
  <c r="B149"/>
  <c r="H147"/>
  <c r="G147"/>
  <c r="F147"/>
  <c r="E147"/>
  <c r="D147"/>
  <c r="C147"/>
  <c r="B147"/>
  <c r="H146"/>
  <c r="G146"/>
  <c r="F146"/>
  <c r="E146"/>
  <c r="D146"/>
  <c r="C146"/>
  <c r="B146"/>
  <c r="H145"/>
  <c r="G145"/>
  <c r="F145"/>
  <c r="E145"/>
  <c r="D145"/>
  <c r="C145"/>
  <c r="B145"/>
  <c r="H144"/>
  <c r="G144"/>
  <c r="F144"/>
  <c r="E144"/>
  <c r="D144"/>
  <c r="C144"/>
  <c r="B144"/>
  <c r="H142"/>
  <c r="G142"/>
  <c r="F142"/>
  <c r="E142"/>
  <c r="D142"/>
  <c r="C142"/>
  <c r="B142"/>
  <c r="J129"/>
  <c r="I129"/>
  <c r="H129"/>
  <c r="G129"/>
  <c r="F129"/>
  <c r="E129"/>
  <c r="D129"/>
  <c r="C129"/>
  <c r="B129"/>
  <c r="J128"/>
  <c r="I128"/>
  <c r="H128"/>
  <c r="G128"/>
  <c r="F128"/>
  <c r="E128"/>
  <c r="D128"/>
  <c r="C128"/>
  <c r="B128"/>
  <c r="J127"/>
  <c r="I127"/>
  <c r="H127"/>
  <c r="G127"/>
  <c r="F127"/>
  <c r="E127"/>
  <c r="D127"/>
  <c r="C127"/>
  <c r="B127"/>
  <c r="J126"/>
  <c r="I126"/>
  <c r="H126"/>
  <c r="G126"/>
  <c r="F126"/>
  <c r="E126"/>
  <c r="D126"/>
  <c r="C126"/>
  <c r="B126"/>
  <c r="J124"/>
  <c r="I124"/>
  <c r="H124"/>
  <c r="G124"/>
  <c r="F124"/>
  <c r="E124"/>
  <c r="D124"/>
  <c r="C124"/>
  <c r="B124"/>
  <c r="J123"/>
  <c r="I123"/>
  <c r="H123"/>
  <c r="G123"/>
  <c r="F123"/>
  <c r="E123"/>
  <c r="D123"/>
  <c r="C123"/>
  <c r="B123"/>
  <c r="J122"/>
  <c r="I122"/>
  <c r="H122"/>
  <c r="G122"/>
  <c r="F122"/>
  <c r="E122"/>
  <c r="D122"/>
  <c r="C122"/>
  <c r="B122"/>
  <c r="J121"/>
  <c r="I121"/>
  <c r="H121"/>
  <c r="G121"/>
  <c r="F121"/>
  <c r="E121"/>
  <c r="D121"/>
  <c r="C121"/>
  <c r="B121"/>
  <c r="J119"/>
  <c r="I119"/>
  <c r="H119"/>
  <c r="G119"/>
  <c r="F119"/>
  <c r="E119"/>
  <c r="D119"/>
  <c r="C119"/>
  <c r="B119"/>
  <c r="J118"/>
  <c r="I118"/>
  <c r="H118"/>
  <c r="G118"/>
  <c r="F118"/>
  <c r="E118"/>
  <c r="D118"/>
  <c r="C118"/>
  <c r="B118"/>
  <c r="J117"/>
  <c r="I117"/>
  <c r="H117"/>
  <c r="G117"/>
  <c r="F117"/>
  <c r="E117"/>
  <c r="D117"/>
  <c r="C117"/>
  <c r="B117"/>
  <c r="J116"/>
  <c r="I116"/>
  <c r="H116"/>
  <c r="G116"/>
  <c r="F116"/>
  <c r="E116"/>
  <c r="D116"/>
  <c r="C116"/>
  <c r="B116"/>
  <c r="J114"/>
  <c r="I114"/>
  <c r="H114"/>
  <c r="G114"/>
  <c r="F114"/>
  <c r="E114"/>
  <c r="D114"/>
  <c r="C114"/>
  <c r="B114"/>
  <c r="J113"/>
  <c r="I113"/>
  <c r="H113"/>
  <c r="G113"/>
  <c r="F113"/>
  <c r="E113"/>
  <c r="D113"/>
  <c r="C113"/>
  <c r="B113"/>
  <c r="J112"/>
  <c r="I112"/>
  <c r="H112"/>
  <c r="G112"/>
  <c r="F112"/>
  <c r="E112"/>
  <c r="D112"/>
  <c r="C112"/>
  <c r="B112"/>
  <c r="J111"/>
  <c r="I111"/>
  <c r="H111"/>
  <c r="G111"/>
  <c r="F111"/>
  <c r="E111"/>
  <c r="D111"/>
  <c r="C111"/>
  <c r="B111"/>
  <c r="J109"/>
  <c r="I109"/>
  <c r="H109"/>
  <c r="G109"/>
  <c r="F109"/>
  <c r="E109"/>
  <c r="D109"/>
  <c r="C109"/>
  <c r="B109"/>
  <c r="H97"/>
  <c r="G97"/>
  <c r="F97"/>
  <c r="E97"/>
  <c r="D97"/>
  <c r="C97"/>
  <c r="B97"/>
  <c r="H96"/>
  <c r="G96"/>
  <c r="F96"/>
  <c r="E96"/>
  <c r="D96"/>
  <c r="C96"/>
  <c r="B96"/>
  <c r="H95"/>
  <c r="G95"/>
  <c r="F95"/>
  <c r="E95"/>
  <c r="D95"/>
  <c r="C95"/>
  <c r="B95"/>
  <c r="H94"/>
  <c r="G94"/>
  <c r="F94"/>
  <c r="E94"/>
  <c r="D94"/>
  <c r="C94"/>
  <c r="B94"/>
  <c r="H92"/>
  <c r="G92"/>
  <c r="F92"/>
  <c r="E92"/>
  <c r="D92"/>
  <c r="C92"/>
  <c r="B92"/>
  <c r="H91"/>
  <c r="G91"/>
  <c r="F91"/>
  <c r="E91"/>
  <c r="D91"/>
  <c r="C91"/>
  <c r="B91"/>
  <c r="H90"/>
  <c r="G90"/>
  <c r="F90"/>
  <c r="E90"/>
  <c r="D90"/>
  <c r="C90"/>
  <c r="B90"/>
  <c r="H89"/>
  <c r="G89"/>
  <c r="F89"/>
  <c r="E89"/>
  <c r="D89"/>
  <c r="C89"/>
  <c r="B89"/>
  <c r="H87"/>
  <c r="G87"/>
  <c r="F87"/>
  <c r="E87"/>
  <c r="D87"/>
  <c r="C87"/>
  <c r="B87"/>
  <c r="H86"/>
  <c r="G86"/>
  <c r="F86"/>
  <c r="E86"/>
  <c r="D86"/>
  <c r="C86"/>
  <c r="B86"/>
  <c r="H85"/>
  <c r="G85"/>
  <c r="F85"/>
  <c r="E85"/>
  <c r="D85"/>
  <c r="C85"/>
  <c r="B85"/>
  <c r="H84"/>
  <c r="G84"/>
  <c r="F84"/>
  <c r="E84"/>
  <c r="D84"/>
  <c r="C84"/>
  <c r="B84"/>
  <c r="H82"/>
  <c r="G82"/>
  <c r="F82"/>
  <c r="E82"/>
  <c r="D82"/>
  <c r="C82"/>
  <c r="B82"/>
  <c r="H81"/>
  <c r="G81"/>
  <c r="F81"/>
  <c r="E81"/>
  <c r="D81"/>
  <c r="C81"/>
  <c r="B81"/>
  <c r="H80"/>
  <c r="G80"/>
  <c r="F80"/>
  <c r="E80"/>
  <c r="D80"/>
  <c r="C80"/>
  <c r="B80"/>
  <c r="H79"/>
  <c r="G79"/>
  <c r="F79"/>
  <c r="E79"/>
  <c r="D79"/>
  <c r="C79"/>
  <c r="B79"/>
  <c r="H77"/>
  <c r="G77"/>
  <c r="F77"/>
  <c r="E77"/>
  <c r="D77"/>
  <c r="C77"/>
  <c r="B77"/>
  <c r="E64"/>
  <c r="D64"/>
  <c r="C64"/>
  <c r="B64"/>
  <c r="E63"/>
  <c r="D63"/>
  <c r="C63"/>
  <c r="B63"/>
  <c r="E62"/>
  <c r="D62"/>
  <c r="C62"/>
  <c r="B62"/>
  <c r="E61"/>
  <c r="D61"/>
  <c r="C61"/>
  <c r="B61"/>
  <c r="E59"/>
  <c r="D59"/>
  <c r="C59"/>
  <c r="B59"/>
  <c r="E58"/>
  <c r="D58"/>
  <c r="C58"/>
  <c r="B58"/>
  <c r="E57"/>
  <c r="D57"/>
  <c r="C57"/>
  <c r="B57"/>
  <c r="E56"/>
  <c r="D56"/>
  <c r="C56"/>
  <c r="B56"/>
  <c r="E54"/>
  <c r="D54"/>
  <c r="C54"/>
  <c r="B54"/>
  <c r="E53"/>
  <c r="D53"/>
  <c r="C53"/>
  <c r="B53"/>
  <c r="E52"/>
  <c r="D52"/>
  <c r="C52"/>
  <c r="B52"/>
  <c r="E51"/>
  <c r="D51"/>
  <c r="C51"/>
  <c r="B51"/>
  <c r="E49"/>
  <c r="D49"/>
  <c r="C49"/>
  <c r="B49"/>
  <c r="E48"/>
  <c r="D48"/>
  <c r="C48"/>
  <c r="B48"/>
  <c r="E47"/>
  <c r="D47"/>
  <c r="C47"/>
  <c r="B47"/>
  <c r="E46"/>
  <c r="D46"/>
  <c r="C46"/>
  <c r="B46"/>
  <c r="E44"/>
  <c r="D44"/>
  <c r="C44"/>
  <c r="B44"/>
  <c r="H30"/>
  <c r="G30"/>
  <c r="F30"/>
  <c r="E30"/>
  <c r="D30"/>
  <c r="C30"/>
  <c r="B30"/>
  <c r="H29"/>
  <c r="G29"/>
  <c r="F29"/>
  <c r="E29"/>
  <c r="D29"/>
  <c r="C29"/>
  <c r="B29"/>
  <c r="H28"/>
  <c r="G28"/>
  <c r="F28"/>
  <c r="E28"/>
  <c r="D28"/>
  <c r="C28"/>
  <c r="B28"/>
  <c r="H27"/>
  <c r="G27"/>
  <c r="F27"/>
  <c r="E27"/>
  <c r="D27"/>
  <c r="C27"/>
  <c r="B27"/>
  <c r="H25"/>
  <c r="G25"/>
  <c r="F25"/>
  <c r="E25"/>
  <c r="D25"/>
  <c r="C25"/>
  <c r="B25"/>
  <c r="H24"/>
  <c r="G24"/>
  <c r="F24"/>
  <c r="E24"/>
  <c r="D24"/>
  <c r="C24"/>
  <c r="B24"/>
  <c r="H23"/>
  <c r="G23"/>
  <c r="F23"/>
  <c r="E23"/>
  <c r="D23"/>
  <c r="C23"/>
  <c r="B23"/>
  <c r="H22"/>
  <c r="G22"/>
  <c r="F22"/>
  <c r="E22"/>
  <c r="D22"/>
  <c r="C22"/>
  <c r="B22"/>
  <c r="H20"/>
  <c r="G20"/>
  <c r="F20"/>
  <c r="E20"/>
  <c r="D20"/>
  <c r="C20"/>
  <c r="B20"/>
  <c r="H19"/>
  <c r="G19"/>
  <c r="F19"/>
  <c r="E19"/>
  <c r="D19"/>
  <c r="C19"/>
  <c r="B19"/>
  <c r="H18"/>
  <c r="G18"/>
  <c r="F18"/>
  <c r="E18"/>
  <c r="D18"/>
  <c r="C18"/>
  <c r="B18"/>
  <c r="H17"/>
  <c r="G17"/>
  <c r="F17"/>
  <c r="E17"/>
  <c r="D17"/>
  <c r="C17"/>
  <c r="B17"/>
  <c r="H15"/>
  <c r="G15"/>
  <c r="F15"/>
  <c r="E15"/>
  <c r="D15"/>
  <c r="C15"/>
  <c r="B15"/>
  <c r="H14"/>
  <c r="G14"/>
  <c r="F14"/>
  <c r="E14"/>
  <c r="D14"/>
  <c r="C14"/>
  <c r="B14"/>
  <c r="H13"/>
  <c r="G13"/>
  <c r="F13"/>
  <c r="E13"/>
  <c r="D13"/>
  <c r="C13"/>
  <c r="B13"/>
  <c r="H12"/>
  <c r="G12"/>
  <c r="F12"/>
  <c r="E12"/>
  <c r="D12"/>
  <c r="C12"/>
  <c r="B12"/>
  <c r="H10"/>
  <c r="G10"/>
  <c r="F10"/>
  <c r="E10"/>
  <c r="D10"/>
  <c r="C10"/>
  <c r="B10"/>
  <c r="H195"/>
  <c r="G195"/>
  <c r="F195"/>
  <c r="E195"/>
  <c r="D195"/>
  <c r="C195"/>
  <c r="B195"/>
  <c r="B237" i="19"/>
  <c r="C237"/>
  <c r="D237"/>
  <c r="E237"/>
  <c r="F237"/>
  <c r="G237"/>
  <c r="H237"/>
  <c r="B239"/>
  <c r="C239"/>
  <c r="D239"/>
  <c r="E239"/>
  <c r="F239"/>
  <c r="G239"/>
  <c r="H239"/>
  <c r="B240"/>
  <c r="C240"/>
  <c r="E240"/>
  <c r="F240"/>
  <c r="G240"/>
  <c r="H240"/>
  <c r="B241"/>
  <c r="C241"/>
  <c r="E241"/>
  <c r="F241"/>
  <c r="G241"/>
  <c r="H241"/>
  <c r="B242"/>
  <c r="C242"/>
  <c r="D242"/>
  <c r="E242"/>
  <c r="F242"/>
  <c r="G242"/>
  <c r="B244"/>
  <c r="C244"/>
  <c r="D244"/>
  <c r="E244"/>
  <c r="F244"/>
  <c r="G244"/>
  <c r="H244"/>
  <c r="B245"/>
  <c r="C245"/>
  <c r="D245"/>
  <c r="E245"/>
  <c r="F245"/>
  <c r="G245"/>
  <c r="H245"/>
  <c r="B246"/>
  <c r="C246"/>
  <c r="D246"/>
  <c r="E246"/>
  <c r="F246"/>
  <c r="G246"/>
  <c r="H246"/>
  <c r="B247"/>
  <c r="C247"/>
  <c r="D247"/>
  <c r="E247"/>
  <c r="F247"/>
  <c r="G247"/>
  <c r="H247"/>
  <c r="B249"/>
  <c r="C249"/>
  <c r="D249"/>
  <c r="E249"/>
  <c r="F249"/>
  <c r="G249"/>
  <c r="H249"/>
  <c r="B250"/>
  <c r="C250"/>
  <c r="D250"/>
  <c r="E250"/>
  <c r="F250"/>
  <c r="G250"/>
  <c r="H250"/>
  <c r="B251"/>
  <c r="C251"/>
  <c r="D251"/>
  <c r="E251"/>
  <c r="F251"/>
  <c r="G251"/>
  <c r="H251"/>
  <c r="B252"/>
  <c r="C252"/>
  <c r="D252"/>
  <c r="E252"/>
  <c r="F252"/>
  <c r="G252"/>
  <c r="H252"/>
  <c r="B254"/>
  <c r="C254"/>
  <c r="D254"/>
  <c r="E254"/>
  <c r="F254"/>
  <c r="G254"/>
  <c r="H254"/>
  <c r="B255"/>
  <c r="C255"/>
  <c r="D255"/>
  <c r="E255"/>
  <c r="F255"/>
  <c r="G255"/>
  <c r="H255"/>
  <c r="B256"/>
  <c r="C256"/>
  <c r="D256"/>
  <c r="E256"/>
  <c r="F256"/>
  <c r="G256"/>
  <c r="H256"/>
  <c r="B257"/>
  <c r="C257"/>
  <c r="D257"/>
  <c r="E257"/>
  <c r="F257"/>
  <c r="G257"/>
  <c r="H257"/>
  <c r="B205"/>
  <c r="C205"/>
  <c r="D205"/>
  <c r="E205"/>
  <c r="F205"/>
  <c r="G205"/>
  <c r="H205"/>
  <c r="B207"/>
  <c r="C207"/>
  <c r="D207"/>
  <c r="E207"/>
  <c r="F207"/>
  <c r="G207"/>
  <c r="H207"/>
  <c r="B208"/>
  <c r="C208"/>
  <c r="D208"/>
  <c r="E208"/>
  <c r="F208"/>
  <c r="G208"/>
  <c r="H208"/>
  <c r="B209"/>
  <c r="C209"/>
  <c r="D209"/>
  <c r="E209"/>
  <c r="F209"/>
  <c r="G209"/>
  <c r="H209"/>
  <c r="B210"/>
  <c r="C210"/>
  <c r="E210"/>
  <c r="F210"/>
  <c r="G210"/>
  <c r="H210"/>
  <c r="B212"/>
  <c r="C212"/>
  <c r="D212"/>
  <c r="E212"/>
  <c r="F212"/>
  <c r="G212"/>
  <c r="H212"/>
  <c r="B213"/>
  <c r="C213"/>
  <c r="D213"/>
  <c r="E213"/>
  <c r="F213"/>
  <c r="G213"/>
  <c r="H213"/>
  <c r="B214"/>
  <c r="C214"/>
  <c r="D214"/>
  <c r="E214"/>
  <c r="F214"/>
  <c r="G214"/>
  <c r="H214"/>
  <c r="B215"/>
  <c r="C215"/>
  <c r="D215"/>
  <c r="E215"/>
  <c r="F215"/>
  <c r="G215"/>
  <c r="H215"/>
  <c r="B217"/>
  <c r="C217"/>
  <c r="D217"/>
  <c r="E217"/>
  <c r="F217"/>
  <c r="G217"/>
  <c r="H217"/>
  <c r="B218"/>
  <c r="C218"/>
  <c r="D218"/>
  <c r="E218"/>
  <c r="F218"/>
  <c r="G218"/>
  <c r="H218"/>
  <c r="B219"/>
  <c r="C219"/>
  <c r="D219"/>
  <c r="E219"/>
  <c r="F219"/>
  <c r="G219"/>
  <c r="H219"/>
  <c r="B220"/>
  <c r="C220"/>
  <c r="D220"/>
  <c r="E220"/>
  <c r="F220"/>
  <c r="G220"/>
  <c r="H220"/>
  <c r="B222"/>
  <c r="C222"/>
  <c r="D222"/>
  <c r="E222"/>
  <c r="F222"/>
  <c r="G222"/>
  <c r="H222"/>
  <c r="B223"/>
  <c r="C223"/>
  <c r="D223"/>
  <c r="E223"/>
  <c r="F223"/>
  <c r="G223"/>
  <c r="H223"/>
  <c r="B224"/>
  <c r="C224"/>
  <c r="E224"/>
  <c r="F224"/>
  <c r="G224"/>
  <c r="H224"/>
  <c r="B225"/>
  <c r="C225"/>
  <c r="D225"/>
  <c r="E225"/>
  <c r="F225"/>
  <c r="G225"/>
  <c r="H225"/>
  <c r="B173"/>
  <c r="C173"/>
  <c r="D173"/>
  <c r="E173"/>
  <c r="F173"/>
  <c r="G173"/>
  <c r="H173"/>
  <c r="B175"/>
  <c r="C175"/>
  <c r="D175"/>
  <c r="E175"/>
  <c r="F175"/>
  <c r="G175"/>
  <c r="H175"/>
  <c r="B176"/>
  <c r="C176"/>
  <c r="D176"/>
  <c r="E176"/>
  <c r="F176"/>
  <c r="G176"/>
  <c r="H176"/>
  <c r="B177"/>
  <c r="C177"/>
  <c r="D177"/>
  <c r="E177"/>
  <c r="F177"/>
  <c r="G177"/>
  <c r="H177"/>
  <c r="B178"/>
  <c r="C178"/>
  <c r="D178"/>
  <c r="E178"/>
  <c r="F178"/>
  <c r="G178"/>
  <c r="H178"/>
  <c r="B180"/>
  <c r="C180"/>
  <c r="D180"/>
  <c r="E180"/>
  <c r="F180"/>
  <c r="G180"/>
  <c r="H180"/>
  <c r="B181"/>
  <c r="C181"/>
  <c r="D181"/>
  <c r="E181"/>
  <c r="F181"/>
  <c r="G181"/>
  <c r="H181"/>
  <c r="B182"/>
  <c r="C182"/>
  <c r="D182"/>
  <c r="E182"/>
  <c r="F182"/>
  <c r="G182"/>
  <c r="H182"/>
  <c r="B183"/>
  <c r="C183"/>
  <c r="D183"/>
  <c r="E183"/>
  <c r="F183"/>
  <c r="G183"/>
  <c r="H183"/>
  <c r="B185"/>
  <c r="C185"/>
  <c r="D185"/>
  <c r="E185"/>
  <c r="F185"/>
  <c r="G185"/>
  <c r="H185"/>
  <c r="B186"/>
  <c r="C186"/>
  <c r="D186"/>
  <c r="E186"/>
  <c r="F186"/>
  <c r="G186"/>
  <c r="H186"/>
  <c r="B187"/>
  <c r="C187"/>
  <c r="D187"/>
  <c r="E187"/>
  <c r="F187"/>
  <c r="G187"/>
  <c r="H187"/>
  <c r="B188"/>
  <c r="C188"/>
  <c r="D188"/>
  <c r="E188"/>
  <c r="F188"/>
  <c r="G188"/>
  <c r="H188"/>
  <c r="B190"/>
  <c r="C190"/>
  <c r="D190"/>
  <c r="E190"/>
  <c r="F190"/>
  <c r="G190"/>
  <c r="H190"/>
  <c r="B191"/>
  <c r="C191"/>
  <c r="D191"/>
  <c r="E191"/>
  <c r="F191"/>
  <c r="G191"/>
  <c r="H191"/>
  <c r="B192"/>
  <c r="C192"/>
  <c r="D192"/>
  <c r="E192"/>
  <c r="F192"/>
  <c r="G192"/>
  <c r="H192"/>
  <c r="B193"/>
  <c r="C193"/>
  <c r="D193"/>
  <c r="E193"/>
  <c r="F193"/>
  <c r="G193"/>
  <c r="H193"/>
  <c r="B141"/>
  <c r="C141"/>
  <c r="D141"/>
  <c r="E141"/>
  <c r="F141"/>
  <c r="G141"/>
  <c r="H141"/>
  <c r="B143"/>
  <c r="C143"/>
  <c r="D143"/>
  <c r="E143"/>
  <c r="F143"/>
  <c r="G143"/>
  <c r="H143"/>
  <c r="B144"/>
  <c r="C144"/>
  <c r="D144"/>
  <c r="E144"/>
  <c r="F144"/>
  <c r="G144"/>
  <c r="H144"/>
  <c r="B145"/>
  <c r="C145"/>
  <c r="D145"/>
  <c r="E145"/>
  <c r="F145"/>
  <c r="G145"/>
  <c r="H145"/>
  <c r="B146"/>
  <c r="C146"/>
  <c r="D146"/>
  <c r="E146"/>
  <c r="F146"/>
  <c r="G146"/>
  <c r="H146"/>
  <c r="B148"/>
  <c r="C148"/>
  <c r="D148"/>
  <c r="E148"/>
  <c r="F148"/>
  <c r="G148"/>
  <c r="H148"/>
  <c r="B149"/>
  <c r="C149"/>
  <c r="D149"/>
  <c r="E149"/>
  <c r="F149"/>
  <c r="G149"/>
  <c r="H149"/>
  <c r="B150"/>
  <c r="C150"/>
  <c r="D150"/>
  <c r="E150"/>
  <c r="F150"/>
  <c r="G150"/>
  <c r="H150"/>
  <c r="B151"/>
  <c r="C151"/>
  <c r="D151"/>
  <c r="E151"/>
  <c r="F151"/>
  <c r="G151"/>
  <c r="H151"/>
  <c r="B153"/>
  <c r="C153"/>
  <c r="D153"/>
  <c r="E153"/>
  <c r="F153"/>
  <c r="G153"/>
  <c r="H153"/>
  <c r="B154"/>
  <c r="C154"/>
  <c r="D154"/>
  <c r="E154"/>
  <c r="F154"/>
  <c r="G154"/>
  <c r="H154"/>
  <c r="B155"/>
  <c r="C155"/>
  <c r="D155"/>
  <c r="E155"/>
  <c r="F155"/>
  <c r="G155"/>
  <c r="H155"/>
  <c r="B156"/>
  <c r="C156"/>
  <c r="D156"/>
  <c r="E156"/>
  <c r="F156"/>
  <c r="G156"/>
  <c r="H156"/>
  <c r="B158"/>
  <c r="C158"/>
  <c r="D158"/>
  <c r="E158"/>
  <c r="F158"/>
  <c r="G158"/>
  <c r="H158"/>
  <c r="B159"/>
  <c r="C159"/>
  <c r="D159"/>
  <c r="E159"/>
  <c r="F159"/>
  <c r="G159"/>
  <c r="H159"/>
  <c r="B160"/>
  <c r="C160"/>
  <c r="D160"/>
  <c r="E160"/>
  <c r="F160"/>
  <c r="G160"/>
  <c r="H160"/>
  <c r="B161"/>
  <c r="C161"/>
  <c r="D161"/>
  <c r="E161"/>
  <c r="F161"/>
  <c r="G161"/>
  <c r="H161"/>
  <c r="B108"/>
  <c r="C108"/>
  <c r="D108"/>
  <c r="E108"/>
  <c r="F108"/>
  <c r="G108"/>
  <c r="H108"/>
  <c r="I108"/>
  <c r="J108"/>
  <c r="B110"/>
  <c r="C110"/>
  <c r="D110"/>
  <c r="E110"/>
  <c r="F110"/>
  <c r="G110"/>
  <c r="H110"/>
  <c r="I110"/>
  <c r="J110"/>
  <c r="B111"/>
  <c r="C111"/>
  <c r="D111"/>
  <c r="E111"/>
  <c r="F111"/>
  <c r="G111"/>
  <c r="H111"/>
  <c r="I111"/>
  <c r="J111"/>
  <c r="B112"/>
  <c r="C112"/>
  <c r="D112"/>
  <c r="E112"/>
  <c r="F112"/>
  <c r="G112"/>
  <c r="H112"/>
  <c r="I112"/>
  <c r="J112"/>
  <c r="B113"/>
  <c r="C113"/>
  <c r="D113"/>
  <c r="E113"/>
  <c r="F113"/>
  <c r="G113"/>
  <c r="H113"/>
  <c r="I113"/>
  <c r="J113"/>
  <c r="B115"/>
  <c r="C115"/>
  <c r="D115"/>
  <c r="E115"/>
  <c r="F115"/>
  <c r="G115"/>
  <c r="H115"/>
  <c r="I115"/>
  <c r="J115"/>
  <c r="B116"/>
  <c r="C116"/>
  <c r="D116"/>
  <c r="E116"/>
  <c r="F116"/>
  <c r="G116"/>
  <c r="H116"/>
  <c r="I116"/>
  <c r="J116"/>
  <c r="B117"/>
  <c r="C117"/>
  <c r="D117"/>
  <c r="E117"/>
  <c r="F117"/>
  <c r="G117"/>
  <c r="H117"/>
  <c r="I117"/>
  <c r="J117"/>
  <c r="B118"/>
  <c r="C118"/>
  <c r="D118"/>
  <c r="E118"/>
  <c r="F118"/>
  <c r="G118"/>
  <c r="H118"/>
  <c r="I118"/>
  <c r="J118"/>
  <c r="B120"/>
  <c r="C120"/>
  <c r="D120"/>
  <c r="E120"/>
  <c r="F120"/>
  <c r="G120"/>
  <c r="H120"/>
  <c r="I120"/>
  <c r="J120"/>
  <c r="B121"/>
  <c r="C121"/>
  <c r="D121"/>
  <c r="E121"/>
  <c r="F121"/>
  <c r="G121"/>
  <c r="H121"/>
  <c r="I121"/>
  <c r="J121"/>
  <c r="B122"/>
  <c r="C122"/>
  <c r="D122"/>
  <c r="E122"/>
  <c r="F122"/>
  <c r="G122"/>
  <c r="H122"/>
  <c r="I122"/>
  <c r="J122"/>
  <c r="B123"/>
  <c r="C123"/>
  <c r="D123"/>
  <c r="E123"/>
  <c r="F123"/>
  <c r="G123"/>
  <c r="H123"/>
  <c r="I123"/>
  <c r="J123"/>
  <c r="B125"/>
  <c r="C125"/>
  <c r="D125"/>
  <c r="E125"/>
  <c r="F125"/>
  <c r="G125"/>
  <c r="H125"/>
  <c r="I125"/>
  <c r="J125"/>
  <c r="B126"/>
  <c r="C126"/>
  <c r="D126"/>
  <c r="E126"/>
  <c r="F126"/>
  <c r="G126"/>
  <c r="H126"/>
  <c r="I126"/>
  <c r="J126"/>
  <c r="B127"/>
  <c r="C127"/>
  <c r="D127"/>
  <c r="E127"/>
  <c r="F127"/>
  <c r="G127"/>
  <c r="H127"/>
  <c r="I127"/>
  <c r="J127"/>
  <c r="B128"/>
  <c r="C128"/>
  <c r="D128"/>
  <c r="E128"/>
  <c r="F128"/>
  <c r="G128"/>
  <c r="H128"/>
  <c r="I128"/>
  <c r="J128"/>
  <c r="B76"/>
  <c r="C76"/>
  <c r="D76"/>
  <c r="E76"/>
  <c r="F76"/>
  <c r="G76"/>
  <c r="H76"/>
  <c r="B78"/>
  <c r="C78"/>
  <c r="D78"/>
  <c r="E78"/>
  <c r="F78"/>
  <c r="G78"/>
  <c r="H78"/>
  <c r="B79"/>
  <c r="C79"/>
  <c r="D79"/>
  <c r="E79"/>
  <c r="F79"/>
  <c r="G79"/>
  <c r="H79"/>
  <c r="B80"/>
  <c r="C80"/>
  <c r="D80"/>
  <c r="E80"/>
  <c r="F80"/>
  <c r="G80"/>
  <c r="H80"/>
  <c r="B81"/>
  <c r="C81"/>
  <c r="D81"/>
  <c r="E81"/>
  <c r="F81"/>
  <c r="G81"/>
  <c r="H81"/>
  <c r="B83"/>
  <c r="C83"/>
  <c r="D83"/>
  <c r="E83"/>
  <c r="F83"/>
  <c r="G83"/>
  <c r="H83"/>
  <c r="B84"/>
  <c r="C84"/>
  <c r="D84"/>
  <c r="E84"/>
  <c r="F84"/>
  <c r="G84"/>
  <c r="H84"/>
  <c r="B85"/>
  <c r="C85"/>
  <c r="D85"/>
  <c r="E85"/>
  <c r="F85"/>
  <c r="G85"/>
  <c r="H85"/>
  <c r="B86"/>
  <c r="C86"/>
  <c r="D86"/>
  <c r="E86"/>
  <c r="F86"/>
  <c r="G86"/>
  <c r="H86"/>
  <c r="B88"/>
  <c r="C88"/>
  <c r="D88"/>
  <c r="E88"/>
  <c r="F88"/>
  <c r="G88"/>
  <c r="H88"/>
  <c r="B89"/>
  <c r="C89"/>
  <c r="D89"/>
  <c r="E89"/>
  <c r="F89"/>
  <c r="G89"/>
  <c r="H89"/>
  <c r="B90"/>
  <c r="C90"/>
  <c r="D90"/>
  <c r="E90"/>
  <c r="F90"/>
  <c r="G90"/>
  <c r="H90"/>
  <c r="B91"/>
  <c r="C91"/>
  <c r="D91"/>
  <c r="E91"/>
  <c r="F91"/>
  <c r="G91"/>
  <c r="H91"/>
  <c r="B93"/>
  <c r="C93"/>
  <c r="D93"/>
  <c r="E93"/>
  <c r="F93"/>
  <c r="G93"/>
  <c r="H93"/>
  <c r="B94"/>
  <c r="C94"/>
  <c r="D94"/>
  <c r="E94"/>
  <c r="F94"/>
  <c r="G94"/>
  <c r="H94"/>
  <c r="B95"/>
  <c r="C95"/>
  <c r="D95"/>
  <c r="E95"/>
  <c r="F95"/>
  <c r="G95"/>
  <c r="H95"/>
  <c r="B96"/>
  <c r="C96"/>
  <c r="D96"/>
  <c r="E96"/>
  <c r="F96"/>
  <c r="G96"/>
  <c r="H96"/>
  <c r="B43"/>
  <c r="C43"/>
  <c r="D43"/>
  <c r="E43"/>
  <c r="F43"/>
  <c r="G43"/>
  <c r="H43"/>
  <c r="I43"/>
  <c r="J43"/>
  <c r="B45"/>
  <c r="C45"/>
  <c r="D45"/>
  <c r="E45"/>
  <c r="F45"/>
  <c r="G45"/>
  <c r="H45"/>
  <c r="I45"/>
  <c r="J45"/>
  <c r="B46"/>
  <c r="C46"/>
  <c r="D46"/>
  <c r="E46"/>
  <c r="F46"/>
  <c r="G46"/>
  <c r="H46"/>
  <c r="I46"/>
  <c r="J46"/>
  <c r="B47"/>
  <c r="C47"/>
  <c r="D47"/>
  <c r="E47"/>
  <c r="F47"/>
  <c r="G47"/>
  <c r="H47"/>
  <c r="I47"/>
  <c r="J47"/>
  <c r="B48"/>
  <c r="C48"/>
  <c r="D48"/>
  <c r="E48"/>
  <c r="F48"/>
  <c r="G48"/>
  <c r="H48"/>
  <c r="I48"/>
  <c r="J48"/>
  <c r="B50"/>
  <c r="C50"/>
  <c r="D50"/>
  <c r="E50"/>
  <c r="F50"/>
  <c r="G50"/>
  <c r="H50"/>
  <c r="I50"/>
  <c r="J50"/>
  <c r="B51"/>
  <c r="C51"/>
  <c r="D51"/>
  <c r="E51"/>
  <c r="F51"/>
  <c r="G51"/>
  <c r="H51"/>
  <c r="I51"/>
  <c r="J51"/>
  <c r="B52"/>
  <c r="C52"/>
  <c r="D52"/>
  <c r="E52"/>
  <c r="F52"/>
  <c r="G52"/>
  <c r="H52"/>
  <c r="I52"/>
  <c r="J52"/>
  <c r="B53"/>
  <c r="C53"/>
  <c r="D53"/>
  <c r="E53"/>
  <c r="F53"/>
  <c r="G53"/>
  <c r="H53"/>
  <c r="I53"/>
  <c r="J53"/>
  <c r="B55"/>
  <c r="C55"/>
  <c r="D55"/>
  <c r="E55"/>
  <c r="F55"/>
  <c r="G55"/>
  <c r="H55"/>
  <c r="I55"/>
  <c r="J55"/>
  <c r="B56"/>
  <c r="C56"/>
  <c r="D56"/>
  <c r="E56"/>
  <c r="F56"/>
  <c r="G56"/>
  <c r="H56"/>
  <c r="I56"/>
  <c r="J56"/>
  <c r="B57"/>
  <c r="C57"/>
  <c r="D57"/>
  <c r="E57"/>
  <c r="F57"/>
  <c r="G57"/>
  <c r="H57"/>
  <c r="I57"/>
  <c r="J57"/>
  <c r="B58"/>
  <c r="C58"/>
  <c r="D58"/>
  <c r="E58"/>
  <c r="F58"/>
  <c r="G58"/>
  <c r="H58"/>
  <c r="I58"/>
  <c r="J58"/>
  <c r="B60"/>
  <c r="C60"/>
  <c r="D60"/>
  <c r="E60"/>
  <c r="F60"/>
  <c r="G60"/>
  <c r="H60"/>
  <c r="I60"/>
  <c r="J60"/>
  <c r="B61"/>
  <c r="C61"/>
  <c r="D61"/>
  <c r="E61"/>
  <c r="F61"/>
  <c r="G61"/>
  <c r="H61"/>
  <c r="I61"/>
  <c r="J61"/>
  <c r="B62"/>
  <c r="C62"/>
  <c r="D62"/>
  <c r="E62"/>
  <c r="F62"/>
  <c r="G62"/>
  <c r="H62"/>
  <c r="I62"/>
  <c r="J62"/>
  <c r="B63"/>
  <c r="C63"/>
  <c r="D63"/>
  <c r="E63"/>
  <c r="F63"/>
  <c r="G63"/>
  <c r="H63"/>
  <c r="I63"/>
  <c r="J63"/>
  <c r="E290" i="28"/>
  <c r="H288"/>
  <c r="H285"/>
  <c r="H284"/>
  <c r="H283"/>
  <c r="N281"/>
  <c r="H281"/>
  <c r="H280"/>
  <c r="N279"/>
  <c r="H278"/>
  <c r="N277"/>
  <c r="H277"/>
  <c r="H276"/>
  <c r="N275"/>
  <c r="BC70"/>
  <c r="H242" i="19" s="1"/>
  <c r="BB70" i="28"/>
  <c r="H246" i="32" s="1"/>
  <c r="AL141" i="28"/>
  <c r="G329" i="12"/>
  <c r="F329"/>
  <c r="H329" s="1"/>
  <c r="G328"/>
  <c r="F328"/>
  <c r="H328" s="1"/>
  <c r="G327"/>
  <c r="F327"/>
  <c r="H327" s="1"/>
  <c r="G326"/>
  <c r="F326"/>
  <c r="H326" s="1"/>
  <c r="G325"/>
  <c r="F325"/>
  <c r="H325" s="1"/>
  <c r="G324"/>
  <c r="F324"/>
  <c r="H324" s="1"/>
  <c r="G323"/>
  <c r="F323"/>
  <c r="H323" s="1"/>
  <c r="G322"/>
  <c r="F322"/>
  <c r="H322" s="1"/>
  <c r="G321"/>
  <c r="F321"/>
  <c r="H321" s="1"/>
  <c r="G320"/>
  <c r="F320"/>
  <c r="H320" s="1"/>
  <c r="G319"/>
  <c r="F319"/>
  <c r="H319" s="1"/>
  <c r="G318"/>
  <c r="F318"/>
  <c r="H318" s="1"/>
  <c r="G317"/>
  <c r="F317"/>
  <c r="H317" s="1"/>
  <c r="G316"/>
  <c r="F316"/>
  <c r="H316" s="1"/>
  <c r="G315"/>
  <c r="F315"/>
  <c r="H315" s="1"/>
  <c r="AA257" i="28"/>
  <c r="D227" i="32" s="1"/>
  <c r="AB70" i="28"/>
  <c r="D210" i="19" s="1"/>
  <c r="AA70" i="28"/>
  <c r="D213" i="32" s="1"/>
  <c r="N131" i="28"/>
  <c r="N130"/>
  <c r="N129"/>
  <c r="N128"/>
  <c r="N127"/>
  <c r="N126"/>
  <c r="N125"/>
  <c r="H88"/>
  <c r="H89"/>
  <c r="H86"/>
  <c r="H85"/>
  <c r="H84"/>
  <c r="H83"/>
  <c r="H82"/>
  <c r="H81"/>
  <c r="H80"/>
  <c r="H79"/>
  <c r="H78"/>
  <c r="H77"/>
  <c r="H76"/>
  <c r="H75"/>
  <c r="H74"/>
  <c r="E119"/>
  <c r="BD291"/>
  <c r="BA291"/>
  <c r="AX291"/>
  <c r="AU291"/>
  <c r="AR291"/>
  <c r="AO291"/>
  <c r="AL291"/>
  <c r="AI291"/>
  <c r="AF291"/>
  <c r="AC291"/>
  <c r="Z291"/>
  <c r="W291"/>
  <c r="T291"/>
  <c r="Q291"/>
  <c r="BD290"/>
  <c r="BA290"/>
  <c r="AX290"/>
  <c r="AU290"/>
  <c r="AR290"/>
  <c r="AO290"/>
  <c r="AL290"/>
  <c r="AI290"/>
  <c r="AF290"/>
  <c r="AC290"/>
  <c r="Z290"/>
  <c r="W290"/>
  <c r="T290"/>
  <c r="Q290"/>
  <c r="N290"/>
  <c r="K290"/>
  <c r="BD289"/>
  <c r="BA289"/>
  <c r="AX289"/>
  <c r="AU289"/>
  <c r="AR289"/>
  <c r="AO289"/>
  <c r="AL289"/>
  <c r="AI289"/>
  <c r="AF289"/>
  <c r="AC289"/>
  <c r="Z289"/>
  <c r="W289"/>
  <c r="T289"/>
  <c r="Q289"/>
  <c r="N289"/>
  <c r="K289"/>
  <c r="H289"/>
  <c r="BD288"/>
  <c r="BA288"/>
  <c r="AX288"/>
  <c r="AU288"/>
  <c r="AR288"/>
  <c r="AO288"/>
  <c r="AL288"/>
  <c r="AI288"/>
  <c r="AF288"/>
  <c r="AC288"/>
  <c r="Z288"/>
  <c r="W288"/>
  <c r="T288"/>
  <c r="Q288"/>
  <c r="N288"/>
  <c r="K288"/>
  <c r="BD287"/>
  <c r="BA287"/>
  <c r="AX287"/>
  <c r="AU287"/>
  <c r="AR287"/>
  <c r="AO287"/>
  <c r="AL287"/>
  <c r="AI287"/>
  <c r="AF287"/>
  <c r="AC287"/>
  <c r="Z287"/>
  <c r="W287"/>
  <c r="T287"/>
  <c r="Q287"/>
  <c r="N287"/>
  <c r="K287"/>
  <c r="H287"/>
  <c r="BD286"/>
  <c r="BA286"/>
  <c r="AX286"/>
  <c r="AU286"/>
  <c r="AR286"/>
  <c r="AO286"/>
  <c r="AL286"/>
  <c r="AI286"/>
  <c r="AF286"/>
  <c r="AC286"/>
  <c r="Z286"/>
  <c r="W286"/>
  <c r="T286"/>
  <c r="Q286"/>
  <c r="N286"/>
  <c r="K286"/>
  <c r="BD285"/>
  <c r="BA285"/>
  <c r="AX285"/>
  <c r="AU285"/>
  <c r="AR285"/>
  <c r="AO285"/>
  <c r="AL285"/>
  <c r="AI285"/>
  <c r="AF285"/>
  <c r="AC285"/>
  <c r="Z285"/>
  <c r="W285"/>
  <c r="T285"/>
  <c r="Q285"/>
  <c r="N285"/>
  <c r="K285"/>
  <c r="BD284"/>
  <c r="BA284"/>
  <c r="AX284"/>
  <c r="AU284"/>
  <c r="AR284"/>
  <c r="AO284"/>
  <c r="AL284"/>
  <c r="AI284"/>
  <c r="AF284"/>
  <c r="AC284"/>
  <c r="Z284"/>
  <c r="W284"/>
  <c r="T284"/>
  <c r="Q284"/>
  <c r="N284"/>
  <c r="K284"/>
  <c r="BD283"/>
  <c r="BA283"/>
  <c r="AX283"/>
  <c r="AU283"/>
  <c r="AR283"/>
  <c r="AO283"/>
  <c r="AL283"/>
  <c r="AI283"/>
  <c r="AF283"/>
  <c r="AC283"/>
  <c r="Z283"/>
  <c r="W283"/>
  <c r="T283"/>
  <c r="Q283"/>
  <c r="N283"/>
  <c r="K283"/>
  <c r="BD282"/>
  <c r="BA282"/>
  <c r="AX282"/>
  <c r="AU282"/>
  <c r="AR282"/>
  <c r="AO282"/>
  <c r="AL282"/>
  <c r="AI282"/>
  <c r="AF282"/>
  <c r="AC282"/>
  <c r="Z282"/>
  <c r="W282"/>
  <c r="T282"/>
  <c r="Q282"/>
  <c r="H282"/>
  <c r="E282"/>
  <c r="BD281"/>
  <c r="BA281"/>
  <c r="AX281"/>
  <c r="AU281"/>
  <c r="AR281"/>
  <c r="AO281"/>
  <c r="AL281"/>
  <c r="AI281"/>
  <c r="AF281"/>
  <c r="AC281"/>
  <c r="Z281"/>
  <c r="W281"/>
  <c r="T281"/>
  <c r="Q281"/>
  <c r="BD280"/>
  <c r="BA280"/>
  <c r="AX280"/>
  <c r="AU280"/>
  <c r="AR280"/>
  <c r="AO280"/>
  <c r="AL280"/>
  <c r="AI280"/>
  <c r="AF280"/>
  <c r="AC280"/>
  <c r="Z280"/>
  <c r="W280"/>
  <c r="T280"/>
  <c r="Q280"/>
  <c r="N280"/>
  <c r="K280"/>
  <c r="BD279"/>
  <c r="BA279"/>
  <c r="AX279"/>
  <c r="AU279"/>
  <c r="AR279"/>
  <c r="AO279"/>
  <c r="AL279"/>
  <c r="AI279"/>
  <c r="AF279"/>
  <c r="AC279"/>
  <c r="Z279"/>
  <c r="W279"/>
  <c r="T279"/>
  <c r="Q279"/>
  <c r="H279"/>
  <c r="E279"/>
  <c r="BD278"/>
  <c r="BA278"/>
  <c r="AX278"/>
  <c r="AU278"/>
  <c r="AR278"/>
  <c r="AO278"/>
  <c r="AL278"/>
  <c r="AI278"/>
  <c r="AF278"/>
  <c r="AC278"/>
  <c r="Z278"/>
  <c r="W278"/>
  <c r="T278"/>
  <c r="Q278"/>
  <c r="N278"/>
  <c r="BD277"/>
  <c r="BA277"/>
  <c r="AX277"/>
  <c r="AU277"/>
  <c r="AR277"/>
  <c r="AO277"/>
  <c r="AL277"/>
  <c r="AI277"/>
  <c r="AF277"/>
  <c r="AC277"/>
  <c r="Z277"/>
  <c r="W277"/>
  <c r="T277"/>
  <c r="Q277"/>
  <c r="BD276"/>
  <c r="BA276"/>
  <c r="AX276"/>
  <c r="AU276"/>
  <c r="AR276"/>
  <c r="AO276"/>
  <c r="AL276"/>
  <c r="AI276"/>
  <c r="AF276"/>
  <c r="AC276"/>
  <c r="Z276"/>
  <c r="W276"/>
  <c r="T276"/>
  <c r="Q276"/>
  <c r="N276"/>
  <c r="K276"/>
  <c r="BD275"/>
  <c r="BA275"/>
  <c r="AX275"/>
  <c r="AU275"/>
  <c r="AR275"/>
  <c r="AO275"/>
  <c r="AL275"/>
  <c r="AI275"/>
  <c r="AF275"/>
  <c r="AC275"/>
  <c r="Z275"/>
  <c r="W275"/>
  <c r="T275"/>
  <c r="Q275"/>
  <c r="BD274"/>
  <c r="BA274"/>
  <c r="AX274"/>
  <c r="AU274"/>
  <c r="AR274"/>
  <c r="AO274"/>
  <c r="AL274"/>
  <c r="AI274"/>
  <c r="AF274"/>
  <c r="AC274"/>
  <c r="Z274"/>
  <c r="W274"/>
  <c r="T274"/>
  <c r="Q274"/>
  <c r="BD273"/>
  <c r="BA273"/>
  <c r="AX273"/>
  <c r="AU273"/>
  <c r="AR273"/>
  <c r="AO273"/>
  <c r="AL273"/>
  <c r="AI273"/>
  <c r="AF273"/>
  <c r="AC273"/>
  <c r="Z273"/>
  <c r="W273"/>
  <c r="T273"/>
  <c r="Q273"/>
  <c r="N273"/>
  <c r="K273"/>
  <c r="H273"/>
  <c r="E273"/>
  <c r="BD272"/>
  <c r="BA272"/>
  <c r="AX272"/>
  <c r="AU272"/>
  <c r="AR272"/>
  <c r="AO272"/>
  <c r="AL272"/>
  <c r="AI272"/>
  <c r="AF272"/>
  <c r="AC272"/>
  <c r="Z272"/>
  <c r="W272"/>
  <c r="T272"/>
  <c r="Q272"/>
  <c r="N272"/>
  <c r="K272"/>
  <c r="H272"/>
  <c r="BD271"/>
  <c r="BA271"/>
  <c r="AX271"/>
  <c r="AU271"/>
  <c r="AR271"/>
  <c r="AO271"/>
  <c r="AL271"/>
  <c r="AI271"/>
  <c r="AF271"/>
  <c r="AC271"/>
  <c r="Z271"/>
  <c r="W271"/>
  <c r="T271"/>
  <c r="Q271"/>
  <c r="N271"/>
  <c r="K271"/>
  <c r="H271"/>
  <c r="E271"/>
  <c r="BD270"/>
  <c r="BA270"/>
  <c r="AX270"/>
  <c r="AU270"/>
  <c r="AR270"/>
  <c r="AO270"/>
  <c r="AL270"/>
  <c r="AI270"/>
  <c r="AF270"/>
  <c r="AC270"/>
  <c r="Z270"/>
  <c r="W270"/>
  <c r="T270"/>
  <c r="Q270"/>
  <c r="N270"/>
  <c r="K270"/>
  <c r="H270"/>
  <c r="E270"/>
  <c r="BD269"/>
  <c r="BA269"/>
  <c r="AX269"/>
  <c r="AU269"/>
  <c r="AR269"/>
  <c r="AO269"/>
  <c r="AL269"/>
  <c r="AI269"/>
  <c r="AF269"/>
  <c r="AC269"/>
  <c r="Z269"/>
  <c r="W269"/>
  <c r="T269"/>
  <c r="Q269"/>
  <c r="N269"/>
  <c r="K269"/>
  <c r="H269"/>
  <c r="E269"/>
  <c r="BD268"/>
  <c r="BA268"/>
  <c r="AX268"/>
  <c r="AU268"/>
  <c r="AR268"/>
  <c r="AO268"/>
  <c r="AL268"/>
  <c r="AI268"/>
  <c r="AF268"/>
  <c r="AC268"/>
  <c r="Z268"/>
  <c r="W268"/>
  <c r="T268"/>
  <c r="Q268"/>
  <c r="N268"/>
  <c r="K268"/>
  <c r="H268"/>
  <c r="E268"/>
  <c r="BD267"/>
  <c r="BA267"/>
  <c r="AX267"/>
  <c r="AU267"/>
  <c r="AR267"/>
  <c r="AO267"/>
  <c r="AL267"/>
  <c r="AI267"/>
  <c r="AF267"/>
  <c r="AC267"/>
  <c r="Z267"/>
  <c r="W267"/>
  <c r="T267"/>
  <c r="Q267"/>
  <c r="N267"/>
  <c r="K267"/>
  <c r="H267"/>
  <c r="E267"/>
  <c r="BD266"/>
  <c r="BA266"/>
  <c r="AX266"/>
  <c r="AU266"/>
  <c r="AR266"/>
  <c r="AO266"/>
  <c r="AL266"/>
  <c r="AI266"/>
  <c r="AF266"/>
  <c r="AC266"/>
  <c r="Z266"/>
  <c r="W266"/>
  <c r="T266"/>
  <c r="Q266"/>
  <c r="N266"/>
  <c r="K266"/>
  <c r="H266"/>
  <c r="E266"/>
  <c r="BD265"/>
  <c r="BA265"/>
  <c r="AX265"/>
  <c r="AU265"/>
  <c r="AR265"/>
  <c r="AO265"/>
  <c r="AL265"/>
  <c r="AI265"/>
  <c r="AF265"/>
  <c r="AC265"/>
  <c r="Z265"/>
  <c r="W265"/>
  <c r="T265"/>
  <c r="Q265"/>
  <c r="N265"/>
  <c r="K265"/>
  <c r="H265"/>
  <c r="E265"/>
  <c r="BD264"/>
  <c r="BA264"/>
  <c r="AX264"/>
  <c r="AU264"/>
  <c r="AR264"/>
  <c r="AO264"/>
  <c r="AL264"/>
  <c r="AI264"/>
  <c r="AF264"/>
  <c r="AC264"/>
  <c r="Z264"/>
  <c r="W264"/>
  <c r="T264"/>
  <c r="Q264"/>
  <c r="N264"/>
  <c r="K264"/>
  <c r="H264"/>
  <c r="E264"/>
  <c r="BD263"/>
  <c r="BA263"/>
  <c r="AX263"/>
  <c r="AU263"/>
  <c r="AR263"/>
  <c r="AO263"/>
  <c r="AL263"/>
  <c r="AI263"/>
  <c r="AF263"/>
  <c r="AC263"/>
  <c r="Z263"/>
  <c r="W263"/>
  <c r="T263"/>
  <c r="Q263"/>
  <c r="N263"/>
  <c r="K263"/>
  <c r="H263"/>
  <c r="E263"/>
  <c r="BD262"/>
  <c r="BA262"/>
  <c r="AX262"/>
  <c r="AU262"/>
  <c r="AR262"/>
  <c r="AO262"/>
  <c r="AL262"/>
  <c r="AI262"/>
  <c r="AF262"/>
  <c r="AC262"/>
  <c r="Z262"/>
  <c r="W262"/>
  <c r="T262"/>
  <c r="Q262"/>
  <c r="N262"/>
  <c r="K262"/>
  <c r="H262"/>
  <c r="E262"/>
  <c r="BD261"/>
  <c r="BA261"/>
  <c r="AX261"/>
  <c r="AU261"/>
  <c r="AR261"/>
  <c r="AO261"/>
  <c r="AL261"/>
  <c r="AI261"/>
  <c r="AF261"/>
  <c r="AC261"/>
  <c r="Z261"/>
  <c r="W261"/>
  <c r="T261"/>
  <c r="Q261"/>
  <c r="N261"/>
  <c r="K261"/>
  <c r="H261"/>
  <c r="E261"/>
  <c r="BD260"/>
  <c r="BA260"/>
  <c r="AX260"/>
  <c r="AU260"/>
  <c r="AR260"/>
  <c r="AO260"/>
  <c r="AL260"/>
  <c r="AI260"/>
  <c r="AF260"/>
  <c r="AC260"/>
  <c r="Z260"/>
  <c r="W260"/>
  <c r="T260"/>
  <c r="Q260"/>
  <c r="N260"/>
  <c r="K260"/>
  <c r="H260"/>
  <c r="E260"/>
  <c r="BD259"/>
  <c r="BA259"/>
  <c r="AX259"/>
  <c r="AU259"/>
  <c r="AR259"/>
  <c r="AO259"/>
  <c r="AL259"/>
  <c r="AI259"/>
  <c r="AF259"/>
  <c r="AC259"/>
  <c r="Z259"/>
  <c r="W259"/>
  <c r="T259"/>
  <c r="Q259"/>
  <c r="N259"/>
  <c r="K259"/>
  <c r="H259"/>
  <c r="E259"/>
  <c r="BD258"/>
  <c r="BA258"/>
  <c r="AX258"/>
  <c r="AU258"/>
  <c r="AR258"/>
  <c r="AO258"/>
  <c r="AL258"/>
  <c r="AI258"/>
  <c r="AF258"/>
  <c r="AC258"/>
  <c r="Z258"/>
  <c r="W258"/>
  <c r="T258"/>
  <c r="Q258"/>
  <c r="N258"/>
  <c r="K258"/>
  <c r="H258"/>
  <c r="E258"/>
  <c r="BD257"/>
  <c r="BA257"/>
  <c r="AX257"/>
  <c r="AU257"/>
  <c r="AR257"/>
  <c r="AO257"/>
  <c r="AL257"/>
  <c r="AI257"/>
  <c r="AF257"/>
  <c r="Z257"/>
  <c r="W257"/>
  <c r="T257"/>
  <c r="Q257"/>
  <c r="BD256"/>
  <c r="BA256"/>
  <c r="AX256"/>
  <c r="AU256"/>
  <c r="AR256"/>
  <c r="AO256"/>
  <c r="AL256"/>
  <c r="AI256"/>
  <c r="AF256"/>
  <c r="AC256"/>
  <c r="Z256"/>
  <c r="W256"/>
  <c r="T256"/>
  <c r="Q256"/>
  <c r="N256"/>
  <c r="K256"/>
  <c r="H256"/>
  <c r="E256"/>
  <c r="BD255"/>
  <c r="BA255"/>
  <c r="AX255"/>
  <c r="AU255"/>
  <c r="AR255"/>
  <c r="AO255"/>
  <c r="AL255"/>
  <c r="AI255"/>
  <c r="AF255"/>
  <c r="AC255"/>
  <c r="Z255"/>
  <c r="W255"/>
  <c r="T255"/>
  <c r="Q255"/>
  <c r="N255"/>
  <c r="K255"/>
  <c r="H255"/>
  <c r="BD254"/>
  <c r="BA254"/>
  <c r="AX254"/>
  <c r="AU254"/>
  <c r="AR254"/>
  <c r="AO254"/>
  <c r="AL254"/>
  <c r="AI254"/>
  <c r="AF254"/>
  <c r="AC254"/>
  <c r="Z254"/>
  <c r="W254"/>
  <c r="T254"/>
  <c r="Q254"/>
  <c r="N254"/>
  <c r="K254"/>
  <c r="H254"/>
  <c r="E254"/>
  <c r="BD253"/>
  <c r="BA253"/>
  <c r="AX253"/>
  <c r="AU253"/>
  <c r="AR253"/>
  <c r="AO253"/>
  <c r="AL253"/>
  <c r="AI253"/>
  <c r="AF253"/>
  <c r="AC253"/>
  <c r="Z253"/>
  <c r="W253"/>
  <c r="T253"/>
  <c r="Q253"/>
  <c r="N253"/>
  <c r="K253"/>
  <c r="H253"/>
  <c r="E253"/>
  <c r="BD252"/>
  <c r="BA252"/>
  <c r="AX252"/>
  <c r="AU252"/>
  <c r="AR252"/>
  <c r="AO252"/>
  <c r="AL252"/>
  <c r="AI252"/>
  <c r="AF252"/>
  <c r="AC252"/>
  <c r="Z252"/>
  <c r="W252"/>
  <c r="T252"/>
  <c r="Q252"/>
  <c r="N252"/>
  <c r="K252"/>
  <c r="H252"/>
  <c r="E252"/>
  <c r="BD251"/>
  <c r="BA251"/>
  <c r="AX251"/>
  <c r="AU251"/>
  <c r="AR251"/>
  <c r="AO251"/>
  <c r="AL251"/>
  <c r="AI251"/>
  <c r="AF251"/>
  <c r="AC251"/>
  <c r="Z251"/>
  <c r="W251"/>
  <c r="T251"/>
  <c r="Q251"/>
  <c r="N251"/>
  <c r="K251"/>
  <c r="H251"/>
  <c r="E251"/>
  <c r="BD250"/>
  <c r="BA250"/>
  <c r="AX250"/>
  <c r="AU250"/>
  <c r="AR250"/>
  <c r="AO250"/>
  <c r="AL250"/>
  <c r="AI250"/>
  <c r="AF250"/>
  <c r="AC250"/>
  <c r="Z250"/>
  <c r="W250"/>
  <c r="T250"/>
  <c r="Q250"/>
  <c r="N250"/>
  <c r="K250"/>
  <c r="H250"/>
  <c r="E250"/>
  <c r="BD249"/>
  <c r="BA249"/>
  <c r="AX249"/>
  <c r="AU249"/>
  <c r="AR249"/>
  <c r="AO249"/>
  <c r="AL249"/>
  <c r="AI249"/>
  <c r="AF249"/>
  <c r="AC249"/>
  <c r="Z249"/>
  <c r="W249"/>
  <c r="T249"/>
  <c r="Q249"/>
  <c r="N249"/>
  <c r="K249"/>
  <c r="H249"/>
  <c r="E249"/>
  <c r="BD248"/>
  <c r="BA248"/>
  <c r="AX248"/>
  <c r="AU248"/>
  <c r="AR248"/>
  <c r="AO248"/>
  <c r="AL248"/>
  <c r="AI248"/>
  <c r="AF248"/>
  <c r="AC248"/>
  <c r="Z248"/>
  <c r="W248"/>
  <c r="T248"/>
  <c r="Q248"/>
  <c r="N248"/>
  <c r="K248"/>
  <c r="H248"/>
  <c r="E248"/>
  <c r="BD247"/>
  <c r="BA247"/>
  <c r="AX247"/>
  <c r="AU247"/>
  <c r="AR247"/>
  <c r="AO247"/>
  <c r="AL247"/>
  <c r="AI247"/>
  <c r="AF247"/>
  <c r="AC247"/>
  <c r="Z247"/>
  <c r="W247"/>
  <c r="T247"/>
  <c r="Q247"/>
  <c r="N247"/>
  <c r="K247"/>
  <c r="H247"/>
  <c r="E247"/>
  <c r="BD246"/>
  <c r="BA246"/>
  <c r="AX246"/>
  <c r="AU246"/>
  <c r="AR246"/>
  <c r="AO246"/>
  <c r="AL246"/>
  <c r="AI246"/>
  <c r="AF246"/>
  <c r="AC246"/>
  <c r="Z246"/>
  <c r="W246"/>
  <c r="T246"/>
  <c r="Q246"/>
  <c r="N246"/>
  <c r="K246"/>
  <c r="H246"/>
  <c r="E246"/>
  <c r="BD245"/>
  <c r="BA245"/>
  <c r="AX245"/>
  <c r="AU245"/>
  <c r="AR245"/>
  <c r="AO245"/>
  <c r="AL245"/>
  <c r="AI245"/>
  <c r="AF245"/>
  <c r="AC245"/>
  <c r="Z245"/>
  <c r="W245"/>
  <c r="T245"/>
  <c r="Q245"/>
  <c r="N245"/>
  <c r="K245"/>
  <c r="H245"/>
  <c r="E245"/>
  <c r="BD244"/>
  <c r="BA244"/>
  <c r="AX244"/>
  <c r="AU244"/>
  <c r="AR244"/>
  <c r="AO244"/>
  <c r="AL244"/>
  <c r="AI244"/>
  <c r="AF244"/>
  <c r="AC244"/>
  <c r="Z244"/>
  <c r="W244"/>
  <c r="T244"/>
  <c r="Q244"/>
  <c r="N244"/>
  <c r="K244"/>
  <c r="H244"/>
  <c r="E244"/>
  <c r="BD243"/>
  <c r="BA243"/>
  <c r="AX243"/>
  <c r="AU243"/>
  <c r="AR243"/>
  <c r="AO243"/>
  <c r="AL243"/>
  <c r="AI243"/>
  <c r="AF243"/>
  <c r="AC243"/>
  <c r="Z243"/>
  <c r="W243"/>
  <c r="T243"/>
  <c r="Q243"/>
  <c r="N243"/>
  <c r="K243"/>
  <c r="H243"/>
  <c r="E243"/>
  <c r="BD242"/>
  <c r="BA242"/>
  <c r="AX242"/>
  <c r="AU242"/>
  <c r="AR242"/>
  <c r="AO242"/>
  <c r="AL242"/>
  <c r="AI242"/>
  <c r="AF242"/>
  <c r="AC242"/>
  <c r="Z242"/>
  <c r="W242"/>
  <c r="T242"/>
  <c r="Q242"/>
  <c r="N242"/>
  <c r="K242"/>
  <c r="H242"/>
  <c r="E242"/>
  <c r="BD241"/>
  <c r="BA241"/>
  <c r="AX241"/>
  <c r="AU241"/>
  <c r="AR241"/>
  <c r="AO241"/>
  <c r="AL241"/>
  <c r="AI241"/>
  <c r="AF241"/>
  <c r="AC241"/>
  <c r="Z241"/>
  <c r="W241"/>
  <c r="T241"/>
  <c r="Q241"/>
  <c r="N241"/>
  <c r="K241"/>
  <c r="H241"/>
  <c r="BD240"/>
  <c r="BA240"/>
  <c r="AX240"/>
  <c r="AU240"/>
  <c r="AR240"/>
  <c r="AO240"/>
  <c r="AL240"/>
  <c r="AI240"/>
  <c r="AF240"/>
  <c r="AC240"/>
  <c r="Z240"/>
  <c r="W240"/>
  <c r="T240"/>
  <c r="Q240"/>
  <c r="BD239"/>
  <c r="BA239"/>
  <c r="AX239"/>
  <c r="AU239"/>
  <c r="AR239"/>
  <c r="AO239"/>
  <c r="AL239"/>
  <c r="AI239"/>
  <c r="AF239"/>
  <c r="AC239"/>
  <c r="Z239"/>
  <c r="W239"/>
  <c r="T239"/>
  <c r="Q239"/>
  <c r="N239"/>
  <c r="K239"/>
  <c r="H239"/>
  <c r="E239"/>
  <c r="BD238"/>
  <c r="BA238"/>
  <c r="AX238"/>
  <c r="AU238"/>
  <c r="AR238"/>
  <c r="AO238"/>
  <c r="AL238"/>
  <c r="AI238"/>
  <c r="AF238"/>
  <c r="AC238"/>
  <c r="Z238"/>
  <c r="W238"/>
  <c r="T238"/>
  <c r="Q238"/>
  <c r="N238"/>
  <c r="K238"/>
  <c r="H238"/>
  <c r="BD237"/>
  <c r="BA237"/>
  <c r="AX237"/>
  <c r="AU237"/>
  <c r="AR237"/>
  <c r="AO237"/>
  <c r="AL237"/>
  <c r="AI237"/>
  <c r="AF237"/>
  <c r="AC237"/>
  <c r="Z237"/>
  <c r="W237"/>
  <c r="T237"/>
  <c r="Q237"/>
  <c r="N237"/>
  <c r="K237"/>
  <c r="H237"/>
  <c r="E237"/>
  <c r="BD236"/>
  <c r="BA236"/>
  <c r="AX236"/>
  <c r="AU236"/>
  <c r="AR236"/>
  <c r="AO236"/>
  <c r="AL236"/>
  <c r="AI236"/>
  <c r="AF236"/>
  <c r="AC236"/>
  <c r="Z236"/>
  <c r="W236"/>
  <c r="T236"/>
  <c r="Q236"/>
  <c r="N236"/>
  <c r="K236"/>
  <c r="H236"/>
  <c r="E236"/>
  <c r="BD235"/>
  <c r="BA235"/>
  <c r="AX235"/>
  <c r="AU235"/>
  <c r="AR235"/>
  <c r="AO235"/>
  <c r="AL235"/>
  <c r="AI235"/>
  <c r="AF235"/>
  <c r="AC235"/>
  <c r="Z235"/>
  <c r="W235"/>
  <c r="T235"/>
  <c r="Q235"/>
  <c r="N235"/>
  <c r="K235"/>
  <c r="BD234"/>
  <c r="BA234"/>
  <c r="AX234"/>
  <c r="AU234"/>
  <c r="AR234"/>
  <c r="AO234"/>
  <c r="AL234"/>
  <c r="AI234"/>
  <c r="AF234"/>
  <c r="AC234"/>
  <c r="Z234"/>
  <c r="W234"/>
  <c r="T234"/>
  <c r="Q234"/>
  <c r="N234"/>
  <c r="K234"/>
  <c r="H234"/>
  <c r="E234"/>
  <c r="BD233"/>
  <c r="BA233"/>
  <c r="AX233"/>
  <c r="AU233"/>
  <c r="AR233"/>
  <c r="AO233"/>
  <c r="AL233"/>
  <c r="AI233"/>
  <c r="AF233"/>
  <c r="AC233"/>
  <c r="Z233"/>
  <c r="W233"/>
  <c r="T233"/>
  <c r="Q233"/>
  <c r="N233"/>
  <c r="K233"/>
  <c r="H233"/>
  <c r="E233"/>
  <c r="BD232"/>
  <c r="BA232"/>
  <c r="AX232"/>
  <c r="AU232"/>
  <c r="AR232"/>
  <c r="AO232"/>
  <c r="AL232"/>
  <c r="AI232"/>
  <c r="AF232"/>
  <c r="AC232"/>
  <c r="Z232"/>
  <c r="W232"/>
  <c r="T232"/>
  <c r="Q232"/>
  <c r="N232"/>
  <c r="K232"/>
  <c r="H232"/>
  <c r="E232"/>
  <c r="BD231"/>
  <c r="BA231"/>
  <c r="AX231"/>
  <c r="AU231"/>
  <c r="AR231"/>
  <c r="AO231"/>
  <c r="AL231"/>
  <c r="AI231"/>
  <c r="AF231"/>
  <c r="AC231"/>
  <c r="Z231"/>
  <c r="W231"/>
  <c r="T231"/>
  <c r="Q231"/>
  <c r="N231"/>
  <c r="K231"/>
  <c r="H231"/>
  <c r="E231"/>
  <c r="BD230"/>
  <c r="BA230"/>
  <c r="AX230"/>
  <c r="AU230"/>
  <c r="AR230"/>
  <c r="AO230"/>
  <c r="AL230"/>
  <c r="AI230"/>
  <c r="AF230"/>
  <c r="AC230"/>
  <c r="Z230"/>
  <c r="W230"/>
  <c r="T230"/>
  <c r="Q230"/>
  <c r="N230"/>
  <c r="K230"/>
  <c r="H230"/>
  <c r="E230"/>
  <c r="BD229"/>
  <c r="BA229"/>
  <c r="AX229"/>
  <c r="AU229"/>
  <c r="AR229"/>
  <c r="AO229"/>
  <c r="AL229"/>
  <c r="AI229"/>
  <c r="AF229"/>
  <c r="AC229"/>
  <c r="Z229"/>
  <c r="W229"/>
  <c r="T229"/>
  <c r="Q229"/>
  <c r="N229"/>
  <c r="K229"/>
  <c r="H229"/>
  <c r="E229"/>
  <c r="BD228"/>
  <c r="BA228"/>
  <c r="AX228"/>
  <c r="AU228"/>
  <c r="AR228"/>
  <c r="AO228"/>
  <c r="AL228"/>
  <c r="AI228"/>
  <c r="AF228"/>
  <c r="AC228"/>
  <c r="Z228"/>
  <c r="W228"/>
  <c r="T228"/>
  <c r="Q228"/>
  <c r="N228"/>
  <c r="K228"/>
  <c r="H228"/>
  <c r="E228"/>
  <c r="BD227"/>
  <c r="BA227"/>
  <c r="AX227"/>
  <c r="AU227"/>
  <c r="AR227"/>
  <c r="AO227"/>
  <c r="AL227"/>
  <c r="AI227"/>
  <c r="AF227"/>
  <c r="AC227"/>
  <c r="Z227"/>
  <c r="W227"/>
  <c r="T227"/>
  <c r="Q227"/>
  <c r="N227"/>
  <c r="K227"/>
  <c r="H227"/>
  <c r="E227"/>
  <c r="BD226"/>
  <c r="BA226"/>
  <c r="AX226"/>
  <c r="AU226"/>
  <c r="AR226"/>
  <c r="AO226"/>
  <c r="AL226"/>
  <c r="AI226"/>
  <c r="AF226"/>
  <c r="AC226"/>
  <c r="Z226"/>
  <c r="W226"/>
  <c r="T226"/>
  <c r="Q226"/>
  <c r="N226"/>
  <c r="K226"/>
  <c r="H226"/>
  <c r="E226"/>
  <c r="BD225"/>
  <c r="BA225"/>
  <c r="AX225"/>
  <c r="AU225"/>
  <c r="AR225"/>
  <c r="AO225"/>
  <c r="AL225"/>
  <c r="AI225"/>
  <c r="AF225"/>
  <c r="AC225"/>
  <c r="Z225"/>
  <c r="W225"/>
  <c r="T225"/>
  <c r="Q225"/>
  <c r="N225"/>
  <c r="K225"/>
  <c r="H225"/>
  <c r="E225"/>
  <c r="BD224"/>
  <c r="BA224"/>
  <c r="AX224"/>
  <c r="AU224"/>
  <c r="AR224"/>
  <c r="AO224"/>
  <c r="AL224"/>
  <c r="AI224"/>
  <c r="AF224"/>
  <c r="AC224"/>
  <c r="Z224"/>
  <c r="W224"/>
  <c r="T224"/>
  <c r="Q224"/>
  <c r="N224"/>
  <c r="K224"/>
  <c r="H224"/>
  <c r="E224"/>
  <c r="BD223"/>
  <c r="BA223"/>
  <c r="AX223"/>
  <c r="AU223"/>
  <c r="AR223"/>
  <c r="AO223"/>
  <c r="AL223"/>
  <c r="AI223"/>
  <c r="AF223"/>
  <c r="AC223"/>
  <c r="Z223"/>
  <c r="W223"/>
  <c r="T223"/>
  <c r="Q223"/>
  <c r="BD222"/>
  <c r="BA222"/>
  <c r="AX222"/>
  <c r="AU222"/>
  <c r="AR222"/>
  <c r="AO222"/>
  <c r="AL222"/>
  <c r="AI222"/>
  <c r="AF222"/>
  <c r="AC222"/>
  <c r="Z222"/>
  <c r="W222"/>
  <c r="T222"/>
  <c r="Q222"/>
  <c r="N222"/>
  <c r="K222"/>
  <c r="H222"/>
  <c r="E222"/>
  <c r="BD221"/>
  <c r="BA221"/>
  <c r="AX221"/>
  <c r="AU221"/>
  <c r="AR221"/>
  <c r="AO221"/>
  <c r="AL221"/>
  <c r="AI221"/>
  <c r="AF221"/>
  <c r="AC221"/>
  <c r="Z221"/>
  <c r="W221"/>
  <c r="T221"/>
  <c r="Q221"/>
  <c r="N221"/>
  <c r="K221"/>
  <c r="H221"/>
  <c r="BD220"/>
  <c r="BA220"/>
  <c r="AX220"/>
  <c r="AU220"/>
  <c r="AR220"/>
  <c r="AO220"/>
  <c r="AL220"/>
  <c r="AI220"/>
  <c r="AF220"/>
  <c r="AC220"/>
  <c r="Z220"/>
  <c r="W220"/>
  <c r="T220"/>
  <c r="Q220"/>
  <c r="N220"/>
  <c r="K220"/>
  <c r="H220"/>
  <c r="E220"/>
  <c r="BD219"/>
  <c r="BA219"/>
  <c r="AX219"/>
  <c r="AU219"/>
  <c r="AR219"/>
  <c r="AO219"/>
  <c r="AL219"/>
  <c r="AI219"/>
  <c r="AF219"/>
  <c r="AC219"/>
  <c r="Z219"/>
  <c r="W219"/>
  <c r="T219"/>
  <c r="Q219"/>
  <c r="N219"/>
  <c r="K219"/>
  <c r="H219"/>
  <c r="E219"/>
  <c r="BD218"/>
  <c r="BA218"/>
  <c r="AX218"/>
  <c r="AU218"/>
  <c r="AR218"/>
  <c r="AO218"/>
  <c r="AL218"/>
  <c r="AI218"/>
  <c r="AF218"/>
  <c r="AC218"/>
  <c r="Z218"/>
  <c r="W218"/>
  <c r="T218"/>
  <c r="Q218"/>
  <c r="N218"/>
  <c r="K218"/>
  <c r="H218"/>
  <c r="E218"/>
  <c r="BD217"/>
  <c r="BA217"/>
  <c r="AX217"/>
  <c r="AU217"/>
  <c r="AR217"/>
  <c r="AO217"/>
  <c r="AL217"/>
  <c r="AI217"/>
  <c r="AF217"/>
  <c r="AC217"/>
  <c r="Z217"/>
  <c r="W217"/>
  <c r="T217"/>
  <c r="Q217"/>
  <c r="N217"/>
  <c r="K217"/>
  <c r="H217"/>
  <c r="E217"/>
  <c r="BD216"/>
  <c r="BA216"/>
  <c r="AX216"/>
  <c r="AU216"/>
  <c r="AR216"/>
  <c r="AO216"/>
  <c r="AL216"/>
  <c r="AI216"/>
  <c r="AF216"/>
  <c r="AC216"/>
  <c r="Z216"/>
  <c r="W216"/>
  <c r="T216"/>
  <c r="Q216"/>
  <c r="N216"/>
  <c r="K216"/>
  <c r="H216"/>
  <c r="E216"/>
  <c r="BD215"/>
  <c r="BA215"/>
  <c r="AX215"/>
  <c r="AU215"/>
  <c r="AR215"/>
  <c r="AO215"/>
  <c r="AL215"/>
  <c r="AI215"/>
  <c r="AF215"/>
  <c r="AC215"/>
  <c r="Z215"/>
  <c r="W215"/>
  <c r="T215"/>
  <c r="Q215"/>
  <c r="N215"/>
  <c r="K215"/>
  <c r="H215"/>
  <c r="E215"/>
  <c r="BD214"/>
  <c r="BA214"/>
  <c r="AX214"/>
  <c r="AU214"/>
  <c r="AR214"/>
  <c r="AO214"/>
  <c r="AL214"/>
  <c r="AI214"/>
  <c r="AF214"/>
  <c r="AC214"/>
  <c r="Z214"/>
  <c r="W214"/>
  <c r="T214"/>
  <c r="Q214"/>
  <c r="N214"/>
  <c r="K214"/>
  <c r="H214"/>
  <c r="E214"/>
  <c r="BD213"/>
  <c r="BA213"/>
  <c r="AX213"/>
  <c r="AU213"/>
  <c r="AR213"/>
  <c r="AO213"/>
  <c r="AL213"/>
  <c r="AI213"/>
  <c r="AF213"/>
  <c r="AC213"/>
  <c r="Z213"/>
  <c r="W213"/>
  <c r="T213"/>
  <c r="Q213"/>
  <c r="N213"/>
  <c r="K213"/>
  <c r="H213"/>
  <c r="E213"/>
  <c r="BD212"/>
  <c r="BA212"/>
  <c r="AX212"/>
  <c r="AU212"/>
  <c r="AR212"/>
  <c r="AO212"/>
  <c r="AL212"/>
  <c r="AI212"/>
  <c r="AF212"/>
  <c r="AC212"/>
  <c r="Z212"/>
  <c r="W212"/>
  <c r="T212"/>
  <c r="Q212"/>
  <c r="N212"/>
  <c r="K212"/>
  <c r="H212"/>
  <c r="E212"/>
  <c r="BD211"/>
  <c r="BA211"/>
  <c r="AX211"/>
  <c r="AU211"/>
  <c r="AR211"/>
  <c r="AO211"/>
  <c r="AL211"/>
  <c r="AI211"/>
  <c r="AF211"/>
  <c r="AC211"/>
  <c r="Z211"/>
  <c r="W211"/>
  <c r="T211"/>
  <c r="Q211"/>
  <c r="N211"/>
  <c r="K211"/>
  <c r="H211"/>
  <c r="E211"/>
  <c r="BD210"/>
  <c r="BA210"/>
  <c r="AX210"/>
  <c r="AU210"/>
  <c r="AR210"/>
  <c r="AO210"/>
  <c r="AL210"/>
  <c r="AI210"/>
  <c r="AF210"/>
  <c r="AC210"/>
  <c r="Z210"/>
  <c r="W210"/>
  <c r="T210"/>
  <c r="Q210"/>
  <c r="N210"/>
  <c r="K210"/>
  <c r="H210"/>
  <c r="E210"/>
  <c r="BD209"/>
  <c r="BA209"/>
  <c r="AX209"/>
  <c r="AU209"/>
  <c r="AR209"/>
  <c r="AO209"/>
  <c r="AL209"/>
  <c r="AI209"/>
  <c r="AF209"/>
  <c r="AC209"/>
  <c r="Z209"/>
  <c r="W209"/>
  <c r="T209"/>
  <c r="Q209"/>
  <c r="N209"/>
  <c r="K209"/>
  <c r="H209"/>
  <c r="E209"/>
  <c r="BD208"/>
  <c r="BA208"/>
  <c r="AX208"/>
  <c r="AU208"/>
  <c r="AR208"/>
  <c r="AO208"/>
  <c r="AL208"/>
  <c r="AI208"/>
  <c r="AF208"/>
  <c r="AC208"/>
  <c r="Z208"/>
  <c r="W208"/>
  <c r="T208"/>
  <c r="Q208"/>
  <c r="N208"/>
  <c r="K208"/>
  <c r="H208"/>
  <c r="E208"/>
  <c r="BD207"/>
  <c r="BA207"/>
  <c r="AX207"/>
  <c r="AU207"/>
  <c r="AR207"/>
  <c r="AO207"/>
  <c r="AL207"/>
  <c r="AI207"/>
  <c r="AF207"/>
  <c r="AC207"/>
  <c r="Z207"/>
  <c r="W207"/>
  <c r="T207"/>
  <c r="Q207"/>
  <c r="N207"/>
  <c r="K207"/>
  <c r="H207"/>
  <c r="E207"/>
  <c r="BD206"/>
  <c r="BA206"/>
  <c r="AX206"/>
  <c r="AU206"/>
  <c r="AR206"/>
  <c r="AO206"/>
  <c r="AL206"/>
  <c r="AI206"/>
  <c r="AF206"/>
  <c r="AC206"/>
  <c r="Z206"/>
  <c r="W206"/>
  <c r="T206"/>
  <c r="Q206"/>
  <c r="BD205"/>
  <c r="BA205"/>
  <c r="AX205"/>
  <c r="AU205"/>
  <c r="AR205"/>
  <c r="AO205"/>
  <c r="AL205"/>
  <c r="AI205"/>
  <c r="AF205"/>
  <c r="AC205"/>
  <c r="Z205"/>
  <c r="W205"/>
  <c r="T205"/>
  <c r="Q205"/>
  <c r="N205"/>
  <c r="K205"/>
  <c r="H205"/>
  <c r="E205"/>
  <c r="BD204"/>
  <c r="BA204"/>
  <c r="AX204"/>
  <c r="AU204"/>
  <c r="AR204"/>
  <c r="AO204"/>
  <c r="AL204"/>
  <c r="AI204"/>
  <c r="AF204"/>
  <c r="AC204"/>
  <c r="Z204"/>
  <c r="W204"/>
  <c r="T204"/>
  <c r="Q204"/>
  <c r="N204"/>
  <c r="K204"/>
  <c r="H204"/>
  <c r="BD203"/>
  <c r="BA203"/>
  <c r="AX203"/>
  <c r="AU203"/>
  <c r="AR203"/>
  <c r="AO203"/>
  <c r="AL203"/>
  <c r="AI203"/>
  <c r="AF203"/>
  <c r="AC203"/>
  <c r="Z203"/>
  <c r="W203"/>
  <c r="T203"/>
  <c r="Q203"/>
  <c r="N203"/>
  <c r="K203"/>
  <c r="H203"/>
  <c r="E203"/>
  <c r="BD202"/>
  <c r="BA202"/>
  <c r="AX202"/>
  <c r="AU202"/>
  <c r="AR202"/>
  <c r="AO202"/>
  <c r="AL202"/>
  <c r="AI202"/>
  <c r="AF202"/>
  <c r="AC202"/>
  <c r="Z202"/>
  <c r="W202"/>
  <c r="T202"/>
  <c r="Q202"/>
  <c r="N202"/>
  <c r="K202"/>
  <c r="H202"/>
  <c r="E202"/>
  <c r="BD201"/>
  <c r="BA201"/>
  <c r="AX201"/>
  <c r="AU201"/>
  <c r="AR201"/>
  <c r="AO201"/>
  <c r="AL201"/>
  <c r="AI201"/>
  <c r="AF201"/>
  <c r="AC201"/>
  <c r="Z201"/>
  <c r="W201"/>
  <c r="T201"/>
  <c r="Q201"/>
  <c r="N201"/>
  <c r="K201"/>
  <c r="H201"/>
  <c r="E201"/>
  <c r="BD200"/>
  <c r="BA200"/>
  <c r="AX200"/>
  <c r="AU200"/>
  <c r="AR200"/>
  <c r="AO200"/>
  <c r="AL200"/>
  <c r="AI200"/>
  <c r="AF200"/>
  <c r="AC200"/>
  <c r="Z200"/>
  <c r="W200"/>
  <c r="T200"/>
  <c r="Q200"/>
  <c r="N200"/>
  <c r="K200"/>
  <c r="H200"/>
  <c r="E200"/>
  <c r="BD199"/>
  <c r="BA199"/>
  <c r="AX199"/>
  <c r="AU199"/>
  <c r="AR199"/>
  <c r="AO199"/>
  <c r="AL199"/>
  <c r="AI199"/>
  <c r="AF199"/>
  <c r="AC199"/>
  <c r="Z199"/>
  <c r="W199"/>
  <c r="T199"/>
  <c r="Q199"/>
  <c r="N199"/>
  <c r="K199"/>
  <c r="H199"/>
  <c r="E199"/>
  <c r="BD198"/>
  <c r="BA198"/>
  <c r="AX198"/>
  <c r="AU198"/>
  <c r="AR198"/>
  <c r="AO198"/>
  <c r="AL198"/>
  <c r="AI198"/>
  <c r="AF198"/>
  <c r="AC198"/>
  <c r="Z198"/>
  <c r="W198"/>
  <c r="T198"/>
  <c r="Q198"/>
  <c r="N198"/>
  <c r="K198"/>
  <c r="H198"/>
  <c r="E198"/>
  <c r="BD197"/>
  <c r="BA197"/>
  <c r="AX197"/>
  <c r="AU197"/>
  <c r="AR197"/>
  <c r="AO197"/>
  <c r="AL197"/>
  <c r="AI197"/>
  <c r="AF197"/>
  <c r="AC197"/>
  <c r="Z197"/>
  <c r="W197"/>
  <c r="T197"/>
  <c r="Q197"/>
  <c r="N197"/>
  <c r="K197"/>
  <c r="H197"/>
  <c r="E197"/>
  <c r="BD196"/>
  <c r="BA196"/>
  <c r="AX196"/>
  <c r="AU196"/>
  <c r="AR196"/>
  <c r="AO196"/>
  <c r="AL196"/>
  <c r="AI196"/>
  <c r="AF196"/>
  <c r="AC196"/>
  <c r="Z196"/>
  <c r="W196"/>
  <c r="T196"/>
  <c r="Q196"/>
  <c r="N196"/>
  <c r="K196"/>
  <c r="H196"/>
  <c r="E196"/>
  <c r="BD195"/>
  <c r="BA195"/>
  <c r="AX195"/>
  <c r="AU195"/>
  <c r="AR195"/>
  <c r="AO195"/>
  <c r="AL195"/>
  <c r="AI195"/>
  <c r="AF195"/>
  <c r="AC195"/>
  <c r="Z195"/>
  <c r="W195"/>
  <c r="T195"/>
  <c r="Q195"/>
  <c r="N195"/>
  <c r="K195"/>
  <c r="H195"/>
  <c r="E195"/>
  <c r="BD194"/>
  <c r="BA194"/>
  <c r="AX194"/>
  <c r="AU194"/>
  <c r="AR194"/>
  <c r="AO194"/>
  <c r="AL194"/>
  <c r="AI194"/>
  <c r="AF194"/>
  <c r="AC194"/>
  <c r="Z194"/>
  <c r="W194"/>
  <c r="T194"/>
  <c r="Q194"/>
  <c r="N194"/>
  <c r="K194"/>
  <c r="H194"/>
  <c r="E194"/>
  <c r="BD193"/>
  <c r="BA193"/>
  <c r="AX193"/>
  <c r="AU193"/>
  <c r="AR193"/>
  <c r="AO193"/>
  <c r="AL193"/>
  <c r="AI193"/>
  <c r="AF193"/>
  <c r="AC193"/>
  <c r="Z193"/>
  <c r="W193"/>
  <c r="T193"/>
  <c r="Q193"/>
  <c r="N193"/>
  <c r="K193"/>
  <c r="H193"/>
  <c r="E193"/>
  <c r="BD192"/>
  <c r="BA192"/>
  <c r="AX192"/>
  <c r="AU192"/>
  <c r="AR192"/>
  <c r="AO192"/>
  <c r="AL192"/>
  <c r="AI192"/>
  <c r="AF192"/>
  <c r="AC192"/>
  <c r="Z192"/>
  <c r="W192"/>
  <c r="T192"/>
  <c r="Q192"/>
  <c r="N192"/>
  <c r="K192"/>
  <c r="H192"/>
  <c r="E192"/>
  <c r="BD191"/>
  <c r="BA191"/>
  <c r="AX191"/>
  <c r="AU191"/>
  <c r="AR191"/>
  <c r="AO191"/>
  <c r="AL191"/>
  <c r="AI191"/>
  <c r="AF191"/>
  <c r="AC191"/>
  <c r="Z191"/>
  <c r="W191"/>
  <c r="T191"/>
  <c r="Q191"/>
  <c r="N191"/>
  <c r="K191"/>
  <c r="H191"/>
  <c r="E191"/>
  <c r="BD190"/>
  <c r="BA190"/>
  <c r="AX190"/>
  <c r="AU190"/>
  <c r="AR190"/>
  <c r="AO190"/>
  <c r="AL190"/>
  <c r="AI190"/>
  <c r="AF190"/>
  <c r="AC190"/>
  <c r="Z190"/>
  <c r="W190"/>
  <c r="T190"/>
  <c r="Q190"/>
  <c r="N190"/>
  <c r="K190"/>
  <c r="H190"/>
  <c r="E190"/>
  <c r="BD189"/>
  <c r="BA189"/>
  <c r="AX189"/>
  <c r="AU189"/>
  <c r="AR189"/>
  <c r="AO189"/>
  <c r="AL189"/>
  <c r="AI189"/>
  <c r="AF189"/>
  <c r="AC189"/>
  <c r="Z189"/>
  <c r="W189"/>
  <c r="T189"/>
  <c r="Q189"/>
  <c r="BD188"/>
  <c r="BA188"/>
  <c r="AX188"/>
  <c r="AU188"/>
  <c r="AR188"/>
  <c r="AO188"/>
  <c r="AL188"/>
  <c r="AI188"/>
  <c r="AF188"/>
  <c r="AC188"/>
  <c r="Z188"/>
  <c r="W188"/>
  <c r="T188"/>
  <c r="Q188"/>
  <c r="N188"/>
  <c r="K188"/>
  <c r="H188"/>
  <c r="E188"/>
  <c r="BD187"/>
  <c r="BA187"/>
  <c r="AX187"/>
  <c r="AU187"/>
  <c r="AR187"/>
  <c r="AO187"/>
  <c r="AL187"/>
  <c r="AI187"/>
  <c r="AF187"/>
  <c r="AC187"/>
  <c r="Z187"/>
  <c r="W187"/>
  <c r="T187"/>
  <c r="Q187"/>
  <c r="N187"/>
  <c r="K187"/>
  <c r="H187"/>
  <c r="BD186"/>
  <c r="BA186"/>
  <c r="AX186"/>
  <c r="AU186"/>
  <c r="AR186"/>
  <c r="AO186"/>
  <c r="AL186"/>
  <c r="AI186"/>
  <c r="AF186"/>
  <c r="AC186"/>
  <c r="Z186"/>
  <c r="W186"/>
  <c r="T186"/>
  <c r="Q186"/>
  <c r="N186"/>
  <c r="K186"/>
  <c r="H186"/>
  <c r="E186"/>
  <c r="BD185"/>
  <c r="BA185"/>
  <c r="AX185"/>
  <c r="AU185"/>
  <c r="AR185"/>
  <c r="AO185"/>
  <c r="AL185"/>
  <c r="AI185"/>
  <c r="AF185"/>
  <c r="AC185"/>
  <c r="Z185"/>
  <c r="W185"/>
  <c r="T185"/>
  <c r="Q185"/>
  <c r="N185"/>
  <c r="K185"/>
  <c r="H185"/>
  <c r="E185"/>
  <c r="BD184"/>
  <c r="BA184"/>
  <c r="AX184"/>
  <c r="AU184"/>
  <c r="AR184"/>
  <c r="AO184"/>
  <c r="AL184"/>
  <c r="AI184"/>
  <c r="AF184"/>
  <c r="AC184"/>
  <c r="Z184"/>
  <c r="W184"/>
  <c r="T184"/>
  <c r="Q184"/>
  <c r="N184"/>
  <c r="K184"/>
  <c r="H184"/>
  <c r="E184"/>
  <c r="BD183"/>
  <c r="BA183"/>
  <c r="AX183"/>
  <c r="AU183"/>
  <c r="AR183"/>
  <c r="AO183"/>
  <c r="AL183"/>
  <c r="AI183"/>
  <c r="AF183"/>
  <c r="AC183"/>
  <c r="Z183"/>
  <c r="W183"/>
  <c r="T183"/>
  <c r="Q183"/>
  <c r="N183"/>
  <c r="K183"/>
  <c r="H183"/>
  <c r="E183"/>
  <c r="BD182"/>
  <c r="BA182"/>
  <c r="AX182"/>
  <c r="AU182"/>
  <c r="AR182"/>
  <c r="AO182"/>
  <c r="AL182"/>
  <c r="AI182"/>
  <c r="AF182"/>
  <c r="AC182"/>
  <c r="Z182"/>
  <c r="W182"/>
  <c r="T182"/>
  <c r="Q182"/>
  <c r="N182"/>
  <c r="K182"/>
  <c r="H182"/>
  <c r="E182"/>
  <c r="BD181"/>
  <c r="BA181"/>
  <c r="AX181"/>
  <c r="AU181"/>
  <c r="AR181"/>
  <c r="AO181"/>
  <c r="AL181"/>
  <c r="AI181"/>
  <c r="AF181"/>
  <c r="AC181"/>
  <c r="Z181"/>
  <c r="W181"/>
  <c r="T181"/>
  <c r="Q181"/>
  <c r="N181"/>
  <c r="K181"/>
  <c r="H181"/>
  <c r="E181"/>
  <c r="BD180"/>
  <c r="BA180"/>
  <c r="AX180"/>
  <c r="AU180"/>
  <c r="AR180"/>
  <c r="AO180"/>
  <c r="AL180"/>
  <c r="AI180"/>
  <c r="AF180"/>
  <c r="AC180"/>
  <c r="Z180"/>
  <c r="W180"/>
  <c r="T180"/>
  <c r="Q180"/>
  <c r="N180"/>
  <c r="K180"/>
  <c r="H180"/>
  <c r="E180"/>
  <c r="BD179"/>
  <c r="BA179"/>
  <c r="AX179"/>
  <c r="AU179"/>
  <c r="AR179"/>
  <c r="AO179"/>
  <c r="AL179"/>
  <c r="AI179"/>
  <c r="AF179"/>
  <c r="AC179"/>
  <c r="Z179"/>
  <c r="W179"/>
  <c r="T179"/>
  <c r="Q179"/>
  <c r="N179"/>
  <c r="K179"/>
  <c r="H179"/>
  <c r="E179"/>
  <c r="BD178"/>
  <c r="BA178"/>
  <c r="AX178"/>
  <c r="AU178"/>
  <c r="AR178"/>
  <c r="AO178"/>
  <c r="AL178"/>
  <c r="AI178"/>
  <c r="AF178"/>
  <c r="AC178"/>
  <c r="Z178"/>
  <c r="W178"/>
  <c r="T178"/>
  <c r="Q178"/>
  <c r="N178"/>
  <c r="K178"/>
  <c r="H178"/>
  <c r="E178"/>
  <c r="BD177"/>
  <c r="BA177"/>
  <c r="AX177"/>
  <c r="AU177"/>
  <c r="AR177"/>
  <c r="AO177"/>
  <c r="AL177"/>
  <c r="AI177"/>
  <c r="AF177"/>
  <c r="AC177"/>
  <c r="Z177"/>
  <c r="W177"/>
  <c r="T177"/>
  <c r="Q177"/>
  <c r="N177"/>
  <c r="K177"/>
  <c r="H177"/>
  <c r="E177"/>
  <c r="BD176"/>
  <c r="BA176"/>
  <c r="AX176"/>
  <c r="AU176"/>
  <c r="AR176"/>
  <c r="AO176"/>
  <c r="AL176"/>
  <c r="AI176"/>
  <c r="AF176"/>
  <c r="AC176"/>
  <c r="Z176"/>
  <c r="W176"/>
  <c r="T176"/>
  <c r="Q176"/>
  <c r="N176"/>
  <c r="K176"/>
  <c r="H176"/>
  <c r="E176"/>
  <c r="BD175"/>
  <c r="BA175"/>
  <c r="AX175"/>
  <c r="AU175"/>
  <c r="AR175"/>
  <c r="AO175"/>
  <c r="AL175"/>
  <c r="AI175"/>
  <c r="AF175"/>
  <c r="AC175"/>
  <c r="Z175"/>
  <c r="W175"/>
  <c r="T175"/>
  <c r="Q175"/>
  <c r="N175"/>
  <c r="K175"/>
  <c r="H175"/>
  <c r="E175"/>
  <c r="BD174"/>
  <c r="BA174"/>
  <c r="AX174"/>
  <c r="AU174"/>
  <c r="AR174"/>
  <c r="AO174"/>
  <c r="AL174"/>
  <c r="AI174"/>
  <c r="AF174"/>
  <c r="AC174"/>
  <c r="Z174"/>
  <c r="W174"/>
  <c r="T174"/>
  <c r="Q174"/>
  <c r="N174"/>
  <c r="K174"/>
  <c r="H174"/>
  <c r="E174"/>
  <c r="BD173"/>
  <c r="BA173"/>
  <c r="AX173"/>
  <c r="AU173"/>
  <c r="AR173"/>
  <c r="AO173"/>
  <c r="AL173"/>
  <c r="AI173"/>
  <c r="AF173"/>
  <c r="AC173"/>
  <c r="Z173"/>
  <c r="W173"/>
  <c r="T173"/>
  <c r="Q173"/>
  <c r="N173"/>
  <c r="K173"/>
  <c r="H173"/>
  <c r="E173"/>
  <c r="BD172"/>
  <c r="BA172"/>
  <c r="AX172"/>
  <c r="AU172"/>
  <c r="AR172"/>
  <c r="AO172"/>
  <c r="AL172"/>
  <c r="AI172"/>
  <c r="AF172"/>
  <c r="AC172"/>
  <c r="Z172"/>
  <c r="W172"/>
  <c r="T172"/>
  <c r="Q172"/>
  <c r="BD171"/>
  <c r="BA171"/>
  <c r="AX171"/>
  <c r="AU171"/>
  <c r="AR171"/>
  <c r="AO171"/>
  <c r="AL171"/>
  <c r="AI171"/>
  <c r="AF171"/>
  <c r="AC171"/>
  <c r="Z171"/>
  <c r="W171"/>
  <c r="T171"/>
  <c r="Q171"/>
  <c r="N171"/>
  <c r="K171"/>
  <c r="H171"/>
  <c r="E171"/>
  <c r="BD170"/>
  <c r="BA170"/>
  <c r="AX170"/>
  <c r="AU170"/>
  <c r="AR170"/>
  <c r="AO170"/>
  <c r="AL170"/>
  <c r="AI170"/>
  <c r="AF170"/>
  <c r="AC170"/>
  <c r="Z170"/>
  <c r="W170"/>
  <c r="T170"/>
  <c r="Q170"/>
  <c r="N170"/>
  <c r="K170"/>
  <c r="H170"/>
  <c r="BD169"/>
  <c r="BA169"/>
  <c r="AX169"/>
  <c r="AU169"/>
  <c r="AR169"/>
  <c r="AO169"/>
  <c r="AL169"/>
  <c r="AI169"/>
  <c r="AF169"/>
  <c r="AC169"/>
  <c r="Z169"/>
  <c r="W169"/>
  <c r="T169"/>
  <c r="Q169"/>
  <c r="N169"/>
  <c r="K169"/>
  <c r="H169"/>
  <c r="E169"/>
  <c r="BD168"/>
  <c r="BA168"/>
  <c r="AX168"/>
  <c r="AU168"/>
  <c r="AR168"/>
  <c r="AO168"/>
  <c r="AL168"/>
  <c r="AI168"/>
  <c r="AF168"/>
  <c r="AC168"/>
  <c r="Z168"/>
  <c r="W168"/>
  <c r="T168"/>
  <c r="Q168"/>
  <c r="N168"/>
  <c r="K168"/>
  <c r="H168"/>
  <c r="E168"/>
  <c r="BD167"/>
  <c r="BA167"/>
  <c r="AX167"/>
  <c r="AU167"/>
  <c r="AR167"/>
  <c r="AO167"/>
  <c r="AL167"/>
  <c r="AI167"/>
  <c r="AF167"/>
  <c r="AC167"/>
  <c r="Z167"/>
  <c r="W167"/>
  <c r="T167"/>
  <c r="Q167"/>
  <c r="N167"/>
  <c r="K167"/>
  <c r="H167"/>
  <c r="E167"/>
  <c r="BD166"/>
  <c r="BA166"/>
  <c r="AX166"/>
  <c r="AU166"/>
  <c r="AR166"/>
  <c r="AO166"/>
  <c r="AL166"/>
  <c r="AI166"/>
  <c r="AF166"/>
  <c r="AC166"/>
  <c r="Z166"/>
  <c r="W166"/>
  <c r="T166"/>
  <c r="Q166"/>
  <c r="N166"/>
  <c r="K166"/>
  <c r="H166"/>
  <c r="E166"/>
  <c r="BD165"/>
  <c r="BA165"/>
  <c r="AX165"/>
  <c r="AU165"/>
  <c r="AR165"/>
  <c r="AO165"/>
  <c r="AL165"/>
  <c r="AI165"/>
  <c r="AF165"/>
  <c r="AC165"/>
  <c r="Z165"/>
  <c r="W165"/>
  <c r="T165"/>
  <c r="Q165"/>
  <c r="N165"/>
  <c r="K165"/>
  <c r="H165"/>
  <c r="E165"/>
  <c r="BD164"/>
  <c r="BA164"/>
  <c r="AX164"/>
  <c r="AU164"/>
  <c r="AR164"/>
  <c r="AO164"/>
  <c r="AL164"/>
  <c r="AI164"/>
  <c r="AF164"/>
  <c r="AC164"/>
  <c r="Z164"/>
  <c r="W164"/>
  <c r="T164"/>
  <c r="Q164"/>
  <c r="N164"/>
  <c r="K164"/>
  <c r="H164"/>
  <c r="E164"/>
  <c r="BD163"/>
  <c r="BA163"/>
  <c r="AX163"/>
  <c r="AU163"/>
  <c r="AR163"/>
  <c r="AO163"/>
  <c r="AL163"/>
  <c r="AI163"/>
  <c r="AF163"/>
  <c r="AC163"/>
  <c r="Z163"/>
  <c r="W163"/>
  <c r="T163"/>
  <c r="Q163"/>
  <c r="N163"/>
  <c r="K163"/>
  <c r="H163"/>
  <c r="E163"/>
  <c r="BD162"/>
  <c r="BA162"/>
  <c r="AX162"/>
  <c r="AU162"/>
  <c r="AR162"/>
  <c r="AO162"/>
  <c r="AL162"/>
  <c r="AI162"/>
  <c r="AF162"/>
  <c r="AC162"/>
  <c r="Z162"/>
  <c r="W162"/>
  <c r="T162"/>
  <c r="Q162"/>
  <c r="N162"/>
  <c r="K162"/>
  <c r="H162"/>
  <c r="BD161"/>
  <c r="BA161"/>
  <c r="AX161"/>
  <c r="AU161"/>
  <c r="AR161"/>
  <c r="AO161"/>
  <c r="AL161"/>
  <c r="AI161"/>
  <c r="AF161"/>
  <c r="AC161"/>
  <c r="Z161"/>
  <c r="W161"/>
  <c r="T161"/>
  <c r="Q161"/>
  <c r="N161"/>
  <c r="K161"/>
  <c r="H161"/>
  <c r="E161"/>
  <c r="BD160"/>
  <c r="BA160"/>
  <c r="AX160"/>
  <c r="AU160"/>
  <c r="AR160"/>
  <c r="AO160"/>
  <c r="AL160"/>
  <c r="AI160"/>
  <c r="AF160"/>
  <c r="AC160"/>
  <c r="Z160"/>
  <c r="W160"/>
  <c r="T160"/>
  <c r="Q160"/>
  <c r="N160"/>
  <c r="K160"/>
  <c r="H160"/>
  <c r="E160"/>
  <c r="BD159"/>
  <c r="BA159"/>
  <c r="AX159"/>
  <c r="AU159"/>
  <c r="AR159"/>
  <c r="AO159"/>
  <c r="AL159"/>
  <c r="AI159"/>
  <c r="AF159"/>
  <c r="AC159"/>
  <c r="Z159"/>
  <c r="W159"/>
  <c r="T159"/>
  <c r="Q159"/>
  <c r="N159"/>
  <c r="K159"/>
  <c r="H159"/>
  <c r="E159"/>
  <c r="BD158"/>
  <c r="BA158"/>
  <c r="AX158"/>
  <c r="AU158"/>
  <c r="AR158"/>
  <c r="AO158"/>
  <c r="AL158"/>
  <c r="AI158"/>
  <c r="AF158"/>
  <c r="AC158"/>
  <c r="Z158"/>
  <c r="W158"/>
  <c r="T158"/>
  <c r="Q158"/>
  <c r="N158"/>
  <c r="K158"/>
  <c r="H158"/>
  <c r="E158"/>
  <c r="BD157"/>
  <c r="BA157"/>
  <c r="AX157"/>
  <c r="AU157"/>
  <c r="AR157"/>
  <c r="AO157"/>
  <c r="AL157"/>
  <c r="AI157"/>
  <c r="AF157"/>
  <c r="AC157"/>
  <c r="Z157"/>
  <c r="W157"/>
  <c r="T157"/>
  <c r="Q157"/>
  <c r="N157"/>
  <c r="K157"/>
  <c r="H157"/>
  <c r="BD156"/>
  <c r="BA156"/>
  <c r="AX156"/>
  <c r="AU156"/>
  <c r="AR156"/>
  <c r="AO156"/>
  <c r="AL156"/>
  <c r="AI156"/>
  <c r="AF156"/>
  <c r="AC156"/>
  <c r="Z156"/>
  <c r="W156"/>
  <c r="T156"/>
  <c r="Q156"/>
  <c r="N156"/>
  <c r="K156"/>
  <c r="H156"/>
  <c r="E156"/>
  <c r="BD155"/>
  <c r="BA155"/>
  <c r="AX155"/>
  <c r="AU155"/>
  <c r="AR155"/>
  <c r="AO155"/>
  <c r="AL155"/>
  <c r="AI155"/>
  <c r="AF155"/>
  <c r="AC155"/>
  <c r="Z155"/>
  <c r="W155"/>
  <c r="T155"/>
  <c r="Q155"/>
  <c r="BD154"/>
  <c r="BA154"/>
  <c r="AX154"/>
  <c r="AU154"/>
  <c r="AR154"/>
  <c r="AO154"/>
  <c r="AL154"/>
  <c r="AI154"/>
  <c r="AF154"/>
  <c r="AC154"/>
  <c r="Z154"/>
  <c r="W154"/>
  <c r="T154"/>
  <c r="Q154"/>
  <c r="N154"/>
  <c r="K154"/>
  <c r="H154"/>
  <c r="E154"/>
  <c r="BD153"/>
  <c r="BA153"/>
  <c r="AX153"/>
  <c r="AU153"/>
  <c r="AR153"/>
  <c r="AO153"/>
  <c r="AL153"/>
  <c r="AI153"/>
  <c r="AF153"/>
  <c r="AC153"/>
  <c r="Z153"/>
  <c r="W153"/>
  <c r="T153"/>
  <c r="Q153"/>
  <c r="N153"/>
  <c r="K153"/>
  <c r="H153"/>
  <c r="BD152"/>
  <c r="BA152"/>
  <c r="AX152"/>
  <c r="AU152"/>
  <c r="AR152"/>
  <c r="AO152"/>
  <c r="AL152"/>
  <c r="AI152"/>
  <c r="AF152"/>
  <c r="AC152"/>
  <c r="Z152"/>
  <c r="W152"/>
  <c r="T152"/>
  <c r="Q152"/>
  <c r="N152"/>
  <c r="K152"/>
  <c r="H152"/>
  <c r="E152"/>
  <c r="BD151"/>
  <c r="BA151"/>
  <c r="AX151"/>
  <c r="AU151"/>
  <c r="AR151"/>
  <c r="AO151"/>
  <c r="AL151"/>
  <c r="AI151"/>
  <c r="AF151"/>
  <c r="AC151"/>
  <c r="Z151"/>
  <c r="W151"/>
  <c r="T151"/>
  <c r="Q151"/>
  <c r="N151"/>
  <c r="K151"/>
  <c r="H151"/>
  <c r="E151"/>
  <c r="BD150"/>
  <c r="BA150"/>
  <c r="AX150"/>
  <c r="AU150"/>
  <c r="AR150"/>
  <c r="AO150"/>
  <c r="AL150"/>
  <c r="AI150"/>
  <c r="AF150"/>
  <c r="AC150"/>
  <c r="Z150"/>
  <c r="W150"/>
  <c r="T150"/>
  <c r="Q150"/>
  <c r="N150"/>
  <c r="K150"/>
  <c r="H150"/>
  <c r="E150"/>
  <c r="BD149"/>
  <c r="BA149"/>
  <c r="AX149"/>
  <c r="AU149"/>
  <c r="AR149"/>
  <c r="AO149"/>
  <c r="AL149"/>
  <c r="AI149"/>
  <c r="AF149"/>
  <c r="AC149"/>
  <c r="Z149"/>
  <c r="W149"/>
  <c r="T149"/>
  <c r="Q149"/>
  <c r="N149"/>
  <c r="K149"/>
  <c r="H149"/>
  <c r="E149"/>
  <c r="BD148"/>
  <c r="BA148"/>
  <c r="AX148"/>
  <c r="AU148"/>
  <c r="AR148"/>
  <c r="AO148"/>
  <c r="AL148"/>
  <c r="AI148"/>
  <c r="AF148"/>
  <c r="AC148"/>
  <c r="Z148"/>
  <c r="W148"/>
  <c r="T148"/>
  <c r="Q148"/>
  <c r="N148"/>
  <c r="K148"/>
  <c r="H148"/>
  <c r="E148"/>
  <c r="BD147"/>
  <c r="BA147"/>
  <c r="AX147"/>
  <c r="AU147"/>
  <c r="AR147"/>
  <c r="AO147"/>
  <c r="AL147"/>
  <c r="AI147"/>
  <c r="AF147"/>
  <c r="AC147"/>
  <c r="Z147"/>
  <c r="W147"/>
  <c r="T147"/>
  <c r="Q147"/>
  <c r="N147"/>
  <c r="K147"/>
  <c r="H147"/>
  <c r="E147"/>
  <c r="BD146"/>
  <c r="BA146"/>
  <c r="AX146"/>
  <c r="AU146"/>
  <c r="AR146"/>
  <c r="AO146"/>
  <c r="AL146"/>
  <c r="AI146"/>
  <c r="AF146"/>
  <c r="AC146"/>
  <c r="Z146"/>
  <c r="W146"/>
  <c r="T146"/>
  <c r="Q146"/>
  <c r="N146"/>
  <c r="K146"/>
  <c r="H146"/>
  <c r="E146"/>
  <c r="BD145"/>
  <c r="BA145"/>
  <c r="AX145"/>
  <c r="AU145"/>
  <c r="AR145"/>
  <c r="AO145"/>
  <c r="AL145"/>
  <c r="AI145"/>
  <c r="AF145"/>
  <c r="AC145"/>
  <c r="Z145"/>
  <c r="W145"/>
  <c r="T145"/>
  <c r="Q145"/>
  <c r="N145"/>
  <c r="K145"/>
  <c r="H145"/>
  <c r="E145"/>
  <c r="BD144"/>
  <c r="BA144"/>
  <c r="AX144"/>
  <c r="AU144"/>
  <c r="AR144"/>
  <c r="AO144"/>
  <c r="AL144"/>
  <c r="AI144"/>
  <c r="AF144"/>
  <c r="AC144"/>
  <c r="Z144"/>
  <c r="W144"/>
  <c r="T144"/>
  <c r="Q144"/>
  <c r="N144"/>
  <c r="K144"/>
  <c r="H144"/>
  <c r="E144"/>
  <c r="BD143"/>
  <c r="BA143"/>
  <c r="AX143"/>
  <c r="AU143"/>
  <c r="AR143"/>
  <c r="AO143"/>
  <c r="AL143"/>
  <c r="AI143"/>
  <c r="AF143"/>
  <c r="AC143"/>
  <c r="Z143"/>
  <c r="W143"/>
  <c r="T143"/>
  <c r="Q143"/>
  <c r="N143"/>
  <c r="K143"/>
  <c r="H143"/>
  <c r="E143"/>
  <c r="BD142"/>
  <c r="BA142"/>
  <c r="AX142"/>
  <c r="AU142"/>
  <c r="AR142"/>
  <c r="AO142"/>
  <c r="AL142"/>
  <c r="AI142"/>
  <c r="AF142"/>
  <c r="AC142"/>
  <c r="Z142"/>
  <c r="W142"/>
  <c r="T142"/>
  <c r="Q142"/>
  <c r="N142"/>
  <c r="K142"/>
  <c r="H142"/>
  <c r="E142"/>
  <c r="BD141"/>
  <c r="BA141"/>
  <c r="AX141"/>
  <c r="AU141"/>
  <c r="AR141"/>
  <c r="AO141"/>
  <c r="AI141"/>
  <c r="AF141"/>
  <c r="AC141"/>
  <c r="Z141"/>
  <c r="W141"/>
  <c r="T141"/>
  <c r="Q141"/>
  <c r="N141"/>
  <c r="K141"/>
  <c r="H141"/>
  <c r="E141"/>
  <c r="BD140"/>
  <c r="BA140"/>
  <c r="AX140"/>
  <c r="AU140"/>
  <c r="AR140"/>
  <c r="AO140"/>
  <c r="AL140"/>
  <c r="AI140"/>
  <c r="AF140"/>
  <c r="AC140"/>
  <c r="Z140"/>
  <c r="W140"/>
  <c r="T140"/>
  <c r="Q140"/>
  <c r="N140"/>
  <c r="K140"/>
  <c r="H140"/>
  <c r="E140"/>
  <c r="BD139"/>
  <c r="BA139"/>
  <c r="AX139"/>
  <c r="AU139"/>
  <c r="AR139"/>
  <c r="AO139"/>
  <c r="AL139"/>
  <c r="AI139"/>
  <c r="AF139"/>
  <c r="AC139"/>
  <c r="Z139"/>
  <c r="W139"/>
  <c r="T139"/>
  <c r="Q139"/>
  <c r="N139"/>
  <c r="K139"/>
  <c r="H139"/>
  <c r="E139"/>
  <c r="BD138"/>
  <c r="BA138"/>
  <c r="AX138"/>
  <c r="AU138"/>
  <c r="AR138"/>
  <c r="AO138"/>
  <c r="AL138"/>
  <c r="AI138"/>
  <c r="AF138"/>
  <c r="AC138"/>
  <c r="Z138"/>
  <c r="W138"/>
  <c r="T138"/>
  <c r="Q138"/>
  <c r="BD137"/>
  <c r="BA137"/>
  <c r="AX137"/>
  <c r="AU137"/>
  <c r="AR137"/>
  <c r="AO137"/>
  <c r="AL137"/>
  <c r="AI137"/>
  <c r="AF137"/>
  <c r="AC137"/>
  <c r="Z137"/>
  <c r="W137"/>
  <c r="T137"/>
  <c r="Q137"/>
  <c r="N137"/>
  <c r="K137"/>
  <c r="H137"/>
  <c r="E137"/>
  <c r="BD136"/>
  <c r="BA136"/>
  <c r="AX136"/>
  <c r="AU136"/>
  <c r="AR136"/>
  <c r="AO136"/>
  <c r="AL136"/>
  <c r="AI136"/>
  <c r="AF136"/>
  <c r="AC136"/>
  <c r="Z136"/>
  <c r="W136"/>
  <c r="T136"/>
  <c r="Q136"/>
  <c r="N136"/>
  <c r="K136"/>
  <c r="H136"/>
  <c r="BD135"/>
  <c r="BA135"/>
  <c r="AX135"/>
  <c r="AU135"/>
  <c r="AR135"/>
  <c r="AO135"/>
  <c r="AL135"/>
  <c r="AI135"/>
  <c r="AF135"/>
  <c r="AC135"/>
  <c r="Z135"/>
  <c r="W135"/>
  <c r="T135"/>
  <c r="Q135"/>
  <c r="N135"/>
  <c r="K135"/>
  <c r="H135"/>
  <c r="E135"/>
  <c r="BD134"/>
  <c r="BA134"/>
  <c r="AX134"/>
  <c r="AU134"/>
  <c r="AR134"/>
  <c r="AO134"/>
  <c r="AL134"/>
  <c r="AI134"/>
  <c r="AF134"/>
  <c r="AC134"/>
  <c r="Z134"/>
  <c r="W134"/>
  <c r="T134"/>
  <c r="Q134"/>
  <c r="N134"/>
  <c r="K134"/>
  <c r="H134"/>
  <c r="E134"/>
  <c r="BD133"/>
  <c r="BA133"/>
  <c r="AX133"/>
  <c r="AU133"/>
  <c r="AR133"/>
  <c r="AO133"/>
  <c r="AL133"/>
  <c r="AI133"/>
  <c r="AF133"/>
  <c r="AC133"/>
  <c r="Z133"/>
  <c r="W133"/>
  <c r="T133"/>
  <c r="Q133"/>
  <c r="N133"/>
  <c r="K133"/>
  <c r="H133"/>
  <c r="E133"/>
  <c r="BD132"/>
  <c r="BA132"/>
  <c r="AX132"/>
  <c r="AU132"/>
  <c r="AR132"/>
  <c r="AO132"/>
  <c r="AL132"/>
  <c r="AI132"/>
  <c r="AF132"/>
  <c r="AC132"/>
  <c r="Z132"/>
  <c r="W132"/>
  <c r="T132"/>
  <c r="Q132"/>
  <c r="N132"/>
  <c r="K132"/>
  <c r="H132"/>
  <c r="E132"/>
  <c r="BD131"/>
  <c r="BA131"/>
  <c r="AX131"/>
  <c r="AU131"/>
  <c r="AR131"/>
  <c r="AO131"/>
  <c r="AL131"/>
  <c r="AI131"/>
  <c r="AF131"/>
  <c r="AC131"/>
  <c r="Z131"/>
  <c r="W131"/>
  <c r="T131"/>
  <c r="Q131"/>
  <c r="K131"/>
  <c r="H131"/>
  <c r="E131"/>
  <c r="BD130"/>
  <c r="BA130"/>
  <c r="AX130"/>
  <c r="AU130"/>
  <c r="AR130"/>
  <c r="AO130"/>
  <c r="AL130"/>
  <c r="AI130"/>
  <c r="AF130"/>
  <c r="AC130"/>
  <c r="Z130"/>
  <c r="W130"/>
  <c r="T130"/>
  <c r="Q130"/>
  <c r="K130"/>
  <c r="H130"/>
  <c r="E130"/>
  <c r="BD129"/>
  <c r="BA129"/>
  <c r="AX129"/>
  <c r="AU129"/>
  <c r="AR129"/>
  <c r="AO129"/>
  <c r="AL129"/>
  <c r="AI129"/>
  <c r="AF129"/>
  <c r="AC129"/>
  <c r="Z129"/>
  <c r="W129"/>
  <c r="T129"/>
  <c r="Q129"/>
  <c r="K129"/>
  <c r="H129"/>
  <c r="E129"/>
  <c r="BD128"/>
  <c r="BA128"/>
  <c r="AX128"/>
  <c r="AU128"/>
  <c r="AR128"/>
  <c r="AO128"/>
  <c r="AL128"/>
  <c r="AI128"/>
  <c r="AF128"/>
  <c r="AC128"/>
  <c r="Z128"/>
  <c r="W128"/>
  <c r="T128"/>
  <c r="Q128"/>
  <c r="K128"/>
  <c r="H128"/>
  <c r="E128"/>
  <c r="BD127"/>
  <c r="BA127"/>
  <c r="AX127"/>
  <c r="AU127"/>
  <c r="AR127"/>
  <c r="AO127"/>
  <c r="AL127"/>
  <c r="AI127"/>
  <c r="AF127"/>
  <c r="AC127"/>
  <c r="Z127"/>
  <c r="W127"/>
  <c r="T127"/>
  <c r="Q127"/>
  <c r="K127"/>
  <c r="H127"/>
  <c r="E127"/>
  <c r="BD126"/>
  <c r="BA126"/>
  <c r="AX126"/>
  <c r="AU126"/>
  <c r="AR126"/>
  <c r="AO126"/>
  <c r="AL126"/>
  <c r="AI126"/>
  <c r="AF126"/>
  <c r="AC126"/>
  <c r="Z126"/>
  <c r="W126"/>
  <c r="T126"/>
  <c r="Q126"/>
  <c r="K126"/>
  <c r="H126"/>
  <c r="E126"/>
  <c r="BD125"/>
  <c r="BA125"/>
  <c r="AX125"/>
  <c r="AU125"/>
  <c r="AR125"/>
  <c r="AO125"/>
  <c r="AL125"/>
  <c r="AI125"/>
  <c r="AF125"/>
  <c r="AC125"/>
  <c r="Z125"/>
  <c r="W125"/>
  <c r="T125"/>
  <c r="Q125"/>
  <c r="K125"/>
  <c r="H125"/>
  <c r="E125"/>
  <c r="BD124"/>
  <c r="BA124"/>
  <c r="AX124"/>
  <c r="AU124"/>
  <c r="AR124"/>
  <c r="AO124"/>
  <c r="AL124"/>
  <c r="AI124"/>
  <c r="AF124"/>
  <c r="AC124"/>
  <c r="Z124"/>
  <c r="W124"/>
  <c r="T124"/>
  <c r="Q124"/>
  <c r="N124"/>
  <c r="K124"/>
  <c r="H124"/>
  <c r="E124"/>
  <c r="BD123"/>
  <c r="BA123"/>
  <c r="AX123"/>
  <c r="AU123"/>
  <c r="AR123"/>
  <c r="AO123"/>
  <c r="AL123"/>
  <c r="AI123"/>
  <c r="AF123"/>
  <c r="AC123"/>
  <c r="Z123"/>
  <c r="W123"/>
  <c r="T123"/>
  <c r="Q123"/>
  <c r="N123"/>
  <c r="K123"/>
  <c r="H123"/>
  <c r="E123"/>
  <c r="BD122"/>
  <c r="BA122"/>
  <c r="AX122"/>
  <c r="AU122"/>
  <c r="AR122"/>
  <c r="AO122"/>
  <c r="AL122"/>
  <c r="AI122"/>
  <c r="AF122"/>
  <c r="AC122"/>
  <c r="Z122"/>
  <c r="W122"/>
  <c r="T122"/>
  <c r="Q122"/>
  <c r="N122"/>
  <c r="K122"/>
  <c r="H122"/>
  <c r="E122"/>
  <c r="BD121"/>
  <c r="BA121"/>
  <c r="AX121"/>
  <c r="AU121"/>
  <c r="AR121"/>
  <c r="AO121"/>
  <c r="AL121"/>
  <c r="AI121"/>
  <c r="AF121"/>
  <c r="AC121"/>
  <c r="Z121"/>
  <c r="W121"/>
  <c r="T121"/>
  <c r="Q121"/>
  <c r="BD120"/>
  <c r="BA120"/>
  <c r="AX120"/>
  <c r="AU120"/>
  <c r="AR120"/>
  <c r="AO120"/>
  <c r="AL120"/>
  <c r="AI120"/>
  <c r="AF120"/>
  <c r="AC120"/>
  <c r="Z120"/>
  <c r="W120"/>
  <c r="T120"/>
  <c r="Q120"/>
  <c r="N120"/>
  <c r="K120"/>
  <c r="H120"/>
  <c r="E120"/>
  <c r="BD119"/>
  <c r="BA119"/>
  <c r="AX119"/>
  <c r="AU119"/>
  <c r="AR119"/>
  <c r="AO119"/>
  <c r="AL119"/>
  <c r="AI119"/>
  <c r="AF119"/>
  <c r="AC119"/>
  <c r="Z119"/>
  <c r="W119"/>
  <c r="T119"/>
  <c r="Q119"/>
  <c r="N119"/>
  <c r="K119"/>
  <c r="H119"/>
  <c r="BD118"/>
  <c r="BA118"/>
  <c r="AX118"/>
  <c r="AU118"/>
  <c r="AR118"/>
  <c r="AO118"/>
  <c r="AL118"/>
  <c r="AI118"/>
  <c r="AF118"/>
  <c r="AC118"/>
  <c r="Z118"/>
  <c r="W118"/>
  <c r="T118"/>
  <c r="Q118"/>
  <c r="N118"/>
  <c r="K118"/>
  <c r="H118"/>
  <c r="E118"/>
  <c r="BD117"/>
  <c r="BA117"/>
  <c r="AX117"/>
  <c r="AU117"/>
  <c r="AR117"/>
  <c r="AO117"/>
  <c r="AL117"/>
  <c r="AI117"/>
  <c r="AF117"/>
  <c r="AC117"/>
  <c r="Z117"/>
  <c r="W117"/>
  <c r="T117"/>
  <c r="Q117"/>
  <c r="N117"/>
  <c r="K117"/>
  <c r="H117"/>
  <c r="E117"/>
  <c r="BD116"/>
  <c r="BA116"/>
  <c r="AX116"/>
  <c r="AU116"/>
  <c r="AR116"/>
  <c r="AO116"/>
  <c r="AL116"/>
  <c r="AI116"/>
  <c r="AF116"/>
  <c r="AC116"/>
  <c r="Z116"/>
  <c r="W116"/>
  <c r="T116"/>
  <c r="Q116"/>
  <c r="N116"/>
  <c r="K116"/>
  <c r="H116"/>
  <c r="E116"/>
  <c r="BD115"/>
  <c r="BA115"/>
  <c r="AX115"/>
  <c r="AU115"/>
  <c r="AR115"/>
  <c r="AO115"/>
  <c r="AL115"/>
  <c r="AI115"/>
  <c r="AF115"/>
  <c r="AC115"/>
  <c r="Z115"/>
  <c r="W115"/>
  <c r="T115"/>
  <c r="Q115"/>
  <c r="N115"/>
  <c r="K115"/>
  <c r="H115"/>
  <c r="E115"/>
  <c r="BD114"/>
  <c r="BA114"/>
  <c r="AX114"/>
  <c r="AU114"/>
  <c r="AR114"/>
  <c r="AO114"/>
  <c r="AL114"/>
  <c r="AI114"/>
  <c r="AF114"/>
  <c r="AC114"/>
  <c r="Z114"/>
  <c r="W114"/>
  <c r="T114"/>
  <c r="Q114"/>
  <c r="N114"/>
  <c r="K114"/>
  <c r="H114"/>
  <c r="E114"/>
  <c r="BD113"/>
  <c r="BA113"/>
  <c r="AX113"/>
  <c r="AU113"/>
  <c r="AR113"/>
  <c r="AO113"/>
  <c r="AL113"/>
  <c r="AI113"/>
  <c r="AF113"/>
  <c r="AC113"/>
  <c r="Z113"/>
  <c r="W113"/>
  <c r="T113"/>
  <c r="Q113"/>
  <c r="N113"/>
  <c r="K113"/>
  <c r="H113"/>
  <c r="E113"/>
  <c r="BD112"/>
  <c r="BA112"/>
  <c r="AX112"/>
  <c r="AU112"/>
  <c r="AR112"/>
  <c r="AO112"/>
  <c r="AL112"/>
  <c r="AI112"/>
  <c r="AF112"/>
  <c r="AC112"/>
  <c r="Z112"/>
  <c r="W112"/>
  <c r="T112"/>
  <c r="Q112"/>
  <c r="N112"/>
  <c r="K112"/>
  <c r="H112"/>
  <c r="E112"/>
  <c r="BD111"/>
  <c r="BA111"/>
  <c r="AX111"/>
  <c r="AU111"/>
  <c r="AR111"/>
  <c r="AO111"/>
  <c r="AL111"/>
  <c r="AI111"/>
  <c r="AF111"/>
  <c r="AC111"/>
  <c r="Z111"/>
  <c r="W111"/>
  <c r="T111"/>
  <c r="Q111"/>
  <c r="N111"/>
  <c r="K111"/>
  <c r="H111"/>
  <c r="E111"/>
  <c r="BD110"/>
  <c r="BA110"/>
  <c r="AX110"/>
  <c r="AU110"/>
  <c r="AR110"/>
  <c r="AO110"/>
  <c r="AL110"/>
  <c r="AI110"/>
  <c r="AF110"/>
  <c r="AC110"/>
  <c r="Z110"/>
  <c r="W110"/>
  <c r="T110"/>
  <c r="Q110"/>
  <c r="N110"/>
  <c r="K110"/>
  <c r="H110"/>
  <c r="E110"/>
  <c r="BD109"/>
  <c r="BA109"/>
  <c r="AX109"/>
  <c r="AU109"/>
  <c r="AR109"/>
  <c r="AO109"/>
  <c r="AL109"/>
  <c r="AI109"/>
  <c r="AF109"/>
  <c r="AC109"/>
  <c r="Z109"/>
  <c r="W109"/>
  <c r="T109"/>
  <c r="Q109"/>
  <c r="N109"/>
  <c r="K109"/>
  <c r="H109"/>
  <c r="E109"/>
  <c r="BD108"/>
  <c r="BA108"/>
  <c r="AX108"/>
  <c r="AU108"/>
  <c r="AR108"/>
  <c r="AO108"/>
  <c r="AL108"/>
  <c r="AI108"/>
  <c r="AF108"/>
  <c r="AC108"/>
  <c r="Z108"/>
  <c r="W108"/>
  <c r="T108"/>
  <c r="Q108"/>
  <c r="N108"/>
  <c r="K108"/>
  <c r="H108"/>
  <c r="E108"/>
  <c r="BD107"/>
  <c r="BA107"/>
  <c r="AX107"/>
  <c r="AU107"/>
  <c r="AR107"/>
  <c r="AO107"/>
  <c r="AL107"/>
  <c r="AI107"/>
  <c r="AF107"/>
  <c r="AC107"/>
  <c r="Z107"/>
  <c r="W107"/>
  <c r="T107"/>
  <c r="Q107"/>
  <c r="N107"/>
  <c r="K107"/>
  <c r="H107"/>
  <c r="E107"/>
  <c r="BD106"/>
  <c r="BA106"/>
  <c r="AX106"/>
  <c r="AU106"/>
  <c r="AR106"/>
  <c r="AO106"/>
  <c r="AL106"/>
  <c r="AI106"/>
  <c r="AF106"/>
  <c r="AC106"/>
  <c r="Z106"/>
  <c r="W106"/>
  <c r="T106"/>
  <c r="Q106"/>
  <c r="N106"/>
  <c r="K106"/>
  <c r="H106"/>
  <c r="E106"/>
  <c r="BD105"/>
  <c r="BA105"/>
  <c r="AX105"/>
  <c r="AU105"/>
  <c r="AR105"/>
  <c r="AO105"/>
  <c r="AL105"/>
  <c r="AI105"/>
  <c r="AF105"/>
  <c r="AC105"/>
  <c r="Z105"/>
  <c r="W105"/>
  <c r="T105"/>
  <c r="Q105"/>
  <c r="N105"/>
  <c r="K105"/>
  <c r="H105"/>
  <c r="E105"/>
  <c r="BD104"/>
  <c r="BA104"/>
  <c r="AX104"/>
  <c r="AU104"/>
  <c r="AR104"/>
  <c r="AO104"/>
  <c r="AL104"/>
  <c r="AI104"/>
  <c r="AF104"/>
  <c r="AC104"/>
  <c r="Z104"/>
  <c r="W104"/>
  <c r="T104"/>
  <c r="Q104"/>
  <c r="BD103"/>
  <c r="BA103"/>
  <c r="AX103"/>
  <c r="AU103"/>
  <c r="AR103"/>
  <c r="AO103"/>
  <c r="AL103"/>
  <c r="AI103"/>
  <c r="AF103"/>
  <c r="AC103"/>
  <c r="Z103"/>
  <c r="W103"/>
  <c r="T103"/>
  <c r="Q103"/>
  <c r="N103"/>
  <c r="K103"/>
  <c r="H103"/>
  <c r="E103"/>
  <c r="BD102"/>
  <c r="BA102"/>
  <c r="AX102"/>
  <c r="AU102"/>
  <c r="AR102"/>
  <c r="AO102"/>
  <c r="AL102"/>
  <c r="AI102"/>
  <c r="AF102"/>
  <c r="AC102"/>
  <c r="Z102"/>
  <c r="W102"/>
  <c r="T102"/>
  <c r="Q102"/>
  <c r="N102"/>
  <c r="K102"/>
  <c r="H102"/>
  <c r="BD101"/>
  <c r="BA101"/>
  <c r="AX101"/>
  <c r="AU101"/>
  <c r="AR101"/>
  <c r="AO101"/>
  <c r="AL101"/>
  <c r="AI101"/>
  <c r="AF101"/>
  <c r="AC101"/>
  <c r="Z101"/>
  <c r="W101"/>
  <c r="T101"/>
  <c r="Q101"/>
  <c r="N101"/>
  <c r="K101"/>
  <c r="H101"/>
  <c r="E101"/>
  <c r="BD100"/>
  <c r="BA100"/>
  <c r="AX100"/>
  <c r="AU100"/>
  <c r="AR100"/>
  <c r="AO100"/>
  <c r="AL100"/>
  <c r="AI100"/>
  <c r="AF100"/>
  <c r="AC100"/>
  <c r="Z100"/>
  <c r="W100"/>
  <c r="T100"/>
  <c r="Q100"/>
  <c r="N100"/>
  <c r="K100"/>
  <c r="H100"/>
  <c r="E100"/>
  <c r="BD99"/>
  <c r="BA99"/>
  <c r="AX99"/>
  <c r="AU99"/>
  <c r="AR99"/>
  <c r="AO99"/>
  <c r="AL99"/>
  <c r="AI99"/>
  <c r="AF99"/>
  <c r="AC99"/>
  <c r="Z99"/>
  <c r="W99"/>
  <c r="T99"/>
  <c r="Q99"/>
  <c r="N99"/>
  <c r="K99"/>
  <c r="H99"/>
  <c r="E99"/>
  <c r="BD98"/>
  <c r="BA98"/>
  <c r="AX98"/>
  <c r="AU98"/>
  <c r="AR98"/>
  <c r="AO98"/>
  <c r="AL98"/>
  <c r="AI98"/>
  <c r="AF98"/>
  <c r="AC98"/>
  <c r="Z98"/>
  <c r="W98"/>
  <c r="T98"/>
  <c r="Q98"/>
  <c r="N98"/>
  <c r="K98"/>
  <c r="H98"/>
  <c r="E98"/>
  <c r="BD97"/>
  <c r="BA97"/>
  <c r="AX97"/>
  <c r="AU97"/>
  <c r="AR97"/>
  <c r="AO97"/>
  <c r="AL97"/>
  <c r="AI97"/>
  <c r="AF97"/>
  <c r="AC97"/>
  <c r="Z97"/>
  <c r="W97"/>
  <c r="T97"/>
  <c r="Q97"/>
  <c r="N97"/>
  <c r="K97"/>
  <c r="H97"/>
  <c r="E97"/>
  <c r="BD96"/>
  <c r="BA96"/>
  <c r="AX96"/>
  <c r="AU96"/>
  <c r="AR96"/>
  <c r="AO96"/>
  <c r="AL96"/>
  <c r="AI96"/>
  <c r="AF96"/>
  <c r="AC96"/>
  <c r="Z96"/>
  <c r="W96"/>
  <c r="T96"/>
  <c r="Q96"/>
  <c r="N96"/>
  <c r="K96"/>
  <c r="H96"/>
  <c r="E96"/>
  <c r="BD95"/>
  <c r="BA95"/>
  <c r="AX95"/>
  <c r="AU95"/>
  <c r="AR95"/>
  <c r="AO95"/>
  <c r="AL95"/>
  <c r="AI95"/>
  <c r="AF95"/>
  <c r="AC95"/>
  <c r="Z95"/>
  <c r="W95"/>
  <c r="T95"/>
  <c r="Q95"/>
  <c r="N95"/>
  <c r="K95"/>
  <c r="H95"/>
  <c r="E95"/>
  <c r="BD94"/>
  <c r="BA94"/>
  <c r="AX94"/>
  <c r="AU94"/>
  <c r="AR94"/>
  <c r="AO94"/>
  <c r="AL94"/>
  <c r="AI94"/>
  <c r="AF94"/>
  <c r="AC94"/>
  <c r="Z94"/>
  <c r="W94"/>
  <c r="T94"/>
  <c r="Q94"/>
  <c r="N94"/>
  <c r="K94"/>
  <c r="H94"/>
  <c r="E94"/>
  <c r="BD93"/>
  <c r="BA93"/>
  <c r="AX93"/>
  <c r="AU93"/>
  <c r="AR93"/>
  <c r="AO93"/>
  <c r="AL93"/>
  <c r="AI93"/>
  <c r="AF93"/>
  <c r="AC93"/>
  <c r="Z93"/>
  <c r="W93"/>
  <c r="T93"/>
  <c r="Q93"/>
  <c r="N93"/>
  <c r="K93"/>
  <c r="H93"/>
  <c r="E93"/>
  <c r="BD92"/>
  <c r="BA92"/>
  <c r="AX92"/>
  <c r="AU92"/>
  <c r="AR92"/>
  <c r="AO92"/>
  <c r="AL92"/>
  <c r="AI92"/>
  <c r="AF92"/>
  <c r="AC92"/>
  <c r="Z92"/>
  <c r="W92"/>
  <c r="T92"/>
  <c r="Q92"/>
  <c r="N92"/>
  <c r="K92"/>
  <c r="H92"/>
  <c r="E92"/>
  <c r="BD91"/>
  <c r="BA91"/>
  <c r="AX91"/>
  <c r="AU91"/>
  <c r="AR91"/>
  <c r="AO91"/>
  <c r="AL91"/>
  <c r="AI91"/>
  <c r="AF91"/>
  <c r="AC91"/>
  <c r="Z91"/>
  <c r="W91"/>
  <c r="T91"/>
  <c r="Q91"/>
  <c r="N91"/>
  <c r="K91"/>
  <c r="H91"/>
  <c r="E91"/>
  <c r="BD90"/>
  <c r="BA90"/>
  <c r="AX90"/>
  <c r="AU90"/>
  <c r="AR90"/>
  <c r="AO90"/>
  <c r="AL90"/>
  <c r="AI90"/>
  <c r="AF90"/>
  <c r="AC90"/>
  <c r="Z90"/>
  <c r="W90"/>
  <c r="T90"/>
  <c r="Q90"/>
  <c r="N90"/>
  <c r="K90"/>
  <c r="H90"/>
  <c r="E90"/>
  <c r="BD89"/>
  <c r="BA89"/>
  <c r="AX89"/>
  <c r="AU89"/>
  <c r="AR89"/>
  <c r="AO89"/>
  <c r="AL89"/>
  <c r="AI89"/>
  <c r="AF89"/>
  <c r="AC89"/>
  <c r="Z89"/>
  <c r="W89"/>
  <c r="T89"/>
  <c r="Q89"/>
  <c r="N89"/>
  <c r="K89"/>
  <c r="E89"/>
  <c r="BD88"/>
  <c r="BA88"/>
  <c r="AX88"/>
  <c r="AU88"/>
  <c r="AR88"/>
  <c r="AO88"/>
  <c r="AL88"/>
  <c r="AI88"/>
  <c r="AF88"/>
  <c r="AC88"/>
  <c r="Z88"/>
  <c r="W88"/>
  <c r="T88"/>
  <c r="Q88"/>
  <c r="N88"/>
  <c r="K88"/>
  <c r="E88"/>
  <c r="BD87"/>
  <c r="BA87"/>
  <c r="AX87"/>
  <c r="AU87"/>
  <c r="AR87"/>
  <c r="AO87"/>
  <c r="AL87"/>
  <c r="AI87"/>
  <c r="AF87"/>
  <c r="AC87"/>
  <c r="Z87"/>
  <c r="W87"/>
  <c r="T87"/>
  <c r="Q87"/>
  <c r="BD86"/>
  <c r="BA86"/>
  <c r="AX86"/>
  <c r="AU86"/>
  <c r="AR86"/>
  <c r="AO86"/>
  <c r="AL86"/>
  <c r="AI86"/>
  <c r="AF86"/>
  <c r="AC86"/>
  <c r="Z86"/>
  <c r="W86"/>
  <c r="T86"/>
  <c r="Q86"/>
  <c r="N86"/>
  <c r="K86"/>
  <c r="E86"/>
  <c r="BD85"/>
  <c r="BA85"/>
  <c r="AX85"/>
  <c r="AU85"/>
  <c r="AR85"/>
  <c r="AO85"/>
  <c r="AL85"/>
  <c r="AI85"/>
  <c r="AF85"/>
  <c r="AC85"/>
  <c r="Z85"/>
  <c r="W85"/>
  <c r="T85"/>
  <c r="Q85"/>
  <c r="N85"/>
  <c r="K85"/>
  <c r="BD84"/>
  <c r="BA84"/>
  <c r="AX84"/>
  <c r="AU84"/>
  <c r="AR84"/>
  <c r="AO84"/>
  <c r="AL84"/>
  <c r="AI84"/>
  <c r="AF84"/>
  <c r="AC84"/>
  <c r="Z84"/>
  <c r="W84"/>
  <c r="T84"/>
  <c r="Q84"/>
  <c r="N84"/>
  <c r="K84"/>
  <c r="E84"/>
  <c r="BD83"/>
  <c r="BA83"/>
  <c r="AX83"/>
  <c r="AU83"/>
  <c r="AR83"/>
  <c r="AO83"/>
  <c r="AL83"/>
  <c r="AI83"/>
  <c r="AF83"/>
  <c r="AC83"/>
  <c r="Z83"/>
  <c r="W83"/>
  <c r="T83"/>
  <c r="Q83"/>
  <c r="N83"/>
  <c r="K83"/>
  <c r="E83"/>
  <c r="BD82"/>
  <c r="BA82"/>
  <c r="AX82"/>
  <c r="AU82"/>
  <c r="AR82"/>
  <c r="AO82"/>
  <c r="AL82"/>
  <c r="AI82"/>
  <c r="AF82"/>
  <c r="AC82"/>
  <c r="Z82"/>
  <c r="W82"/>
  <c r="T82"/>
  <c r="Q82"/>
  <c r="N82"/>
  <c r="K82"/>
  <c r="E82"/>
  <c r="BD81"/>
  <c r="BA81"/>
  <c r="AX81"/>
  <c r="AU81"/>
  <c r="AR81"/>
  <c r="AO81"/>
  <c r="AL81"/>
  <c r="AI81"/>
  <c r="AF81"/>
  <c r="AC81"/>
  <c r="Z81"/>
  <c r="W81"/>
  <c r="T81"/>
  <c r="Q81"/>
  <c r="N81"/>
  <c r="K81"/>
  <c r="E81"/>
  <c r="BD80"/>
  <c r="BA80"/>
  <c r="AX80"/>
  <c r="AU80"/>
  <c r="AR80"/>
  <c r="AO80"/>
  <c r="AL80"/>
  <c r="AI80"/>
  <c r="AF80"/>
  <c r="AC80"/>
  <c r="Z80"/>
  <c r="W80"/>
  <c r="T80"/>
  <c r="Q80"/>
  <c r="N80"/>
  <c r="K80"/>
  <c r="E80"/>
  <c r="BD79"/>
  <c r="BA79"/>
  <c r="AX79"/>
  <c r="AU79"/>
  <c r="AR79"/>
  <c r="AO79"/>
  <c r="AL79"/>
  <c r="AI79"/>
  <c r="AF79"/>
  <c r="AC79"/>
  <c r="Z79"/>
  <c r="W79"/>
  <c r="T79"/>
  <c r="Q79"/>
  <c r="N79"/>
  <c r="K79"/>
  <c r="E79"/>
  <c r="BD78"/>
  <c r="BA78"/>
  <c r="AX78"/>
  <c r="AU78"/>
  <c r="AR78"/>
  <c r="AO78"/>
  <c r="AL78"/>
  <c r="AI78"/>
  <c r="AF78"/>
  <c r="AC78"/>
  <c r="Z78"/>
  <c r="W78"/>
  <c r="T78"/>
  <c r="Q78"/>
  <c r="N78"/>
  <c r="K78"/>
  <c r="E78"/>
  <c r="BD77"/>
  <c r="BA77"/>
  <c r="AX77"/>
  <c r="AU77"/>
  <c r="AR77"/>
  <c r="AO77"/>
  <c r="AL77"/>
  <c r="AI77"/>
  <c r="AF77"/>
  <c r="AC77"/>
  <c r="Z77"/>
  <c r="W77"/>
  <c r="T77"/>
  <c r="Q77"/>
  <c r="N77"/>
  <c r="K77"/>
  <c r="E77"/>
  <c r="BD76"/>
  <c r="BA76"/>
  <c r="AX76"/>
  <c r="AU76"/>
  <c r="AR76"/>
  <c r="AO76"/>
  <c r="AL76"/>
  <c r="AI76"/>
  <c r="AF76"/>
  <c r="AC76"/>
  <c r="Z76"/>
  <c r="W76"/>
  <c r="T76"/>
  <c r="Q76"/>
  <c r="N76"/>
  <c r="K76"/>
  <c r="E76"/>
  <c r="BD75"/>
  <c r="BA75"/>
  <c r="AX75"/>
  <c r="AU75"/>
  <c r="AR75"/>
  <c r="AO75"/>
  <c r="AL75"/>
  <c r="AI75"/>
  <c r="AF75"/>
  <c r="AC75"/>
  <c r="Z75"/>
  <c r="W75"/>
  <c r="T75"/>
  <c r="Q75"/>
  <c r="N75"/>
  <c r="K75"/>
  <c r="E75"/>
  <c r="BD74"/>
  <c r="BA74"/>
  <c r="AX74"/>
  <c r="AU74"/>
  <c r="AR74"/>
  <c r="AO74"/>
  <c r="AL74"/>
  <c r="AI74"/>
  <c r="AF74"/>
  <c r="AC74"/>
  <c r="Z74"/>
  <c r="W74"/>
  <c r="T74"/>
  <c r="Q74"/>
  <c r="N74"/>
  <c r="K74"/>
  <c r="E74"/>
  <c r="BD73"/>
  <c r="BA73"/>
  <c r="AX73"/>
  <c r="AU73"/>
  <c r="AR73"/>
  <c r="AO73"/>
  <c r="AL73"/>
  <c r="AI73"/>
  <c r="AF73"/>
  <c r="AC73"/>
  <c r="Z73"/>
  <c r="W73"/>
  <c r="T73"/>
  <c r="Q73"/>
  <c r="N73"/>
  <c r="K73"/>
  <c r="H73"/>
  <c r="E73"/>
  <c r="BD72"/>
  <c r="BA72"/>
  <c r="AX72"/>
  <c r="AU72"/>
  <c r="AR72"/>
  <c r="AO72"/>
  <c r="AL72"/>
  <c r="AI72"/>
  <c r="AF72"/>
  <c r="AC72"/>
  <c r="Z72"/>
  <c r="W72"/>
  <c r="T72"/>
  <c r="Q72"/>
  <c r="N72"/>
  <c r="K72"/>
  <c r="H72"/>
  <c r="E72"/>
  <c r="BD71"/>
  <c r="BA71"/>
  <c r="AX71"/>
  <c r="AU71"/>
  <c r="AR71"/>
  <c r="AO71"/>
  <c r="AL71"/>
  <c r="AI71"/>
  <c r="AF71"/>
  <c r="AC71"/>
  <c r="Z71"/>
  <c r="W71"/>
  <c r="T71"/>
  <c r="Q71"/>
  <c r="N71"/>
  <c r="K71"/>
  <c r="H71"/>
  <c r="BD70"/>
  <c r="BA70"/>
  <c r="AX70"/>
  <c r="AU70"/>
  <c r="AR70"/>
  <c r="AO70"/>
  <c r="AL70"/>
  <c r="AI70"/>
  <c r="AF70"/>
  <c r="AC70"/>
  <c r="Z70"/>
  <c r="W70"/>
  <c r="T70"/>
  <c r="Q70"/>
  <c r="BD69"/>
  <c r="BA69"/>
  <c r="AX69"/>
  <c r="AU69"/>
  <c r="AR69"/>
  <c r="AO69"/>
  <c r="AL69"/>
  <c r="AI69"/>
  <c r="AF69"/>
  <c r="AC69"/>
  <c r="Z69"/>
  <c r="W69"/>
  <c r="T69"/>
  <c r="Q69"/>
  <c r="N69"/>
  <c r="K69"/>
  <c r="H69"/>
  <c r="E69"/>
  <c r="BD68"/>
  <c r="BA68"/>
  <c r="AX68"/>
  <c r="AU68"/>
  <c r="AR68"/>
  <c r="AO68"/>
  <c r="AL68"/>
  <c r="AI68"/>
  <c r="AF68"/>
  <c r="AC68"/>
  <c r="Z68"/>
  <c r="W68"/>
  <c r="T68"/>
  <c r="Q68"/>
  <c r="N68"/>
  <c r="K68"/>
  <c r="H68"/>
  <c r="BD67"/>
  <c r="BA67"/>
  <c r="AX67"/>
  <c r="AU67"/>
  <c r="AR67"/>
  <c r="AO67"/>
  <c r="AL67"/>
  <c r="AI67"/>
  <c r="AF67"/>
  <c r="AC67"/>
  <c r="Z67"/>
  <c r="W67"/>
  <c r="T67"/>
  <c r="Q67"/>
  <c r="N67"/>
  <c r="K67"/>
  <c r="H67"/>
  <c r="E67"/>
  <c r="BD66"/>
  <c r="BA66"/>
  <c r="AX66"/>
  <c r="AU66"/>
  <c r="AR66"/>
  <c r="AO66"/>
  <c r="AL66"/>
  <c r="AI66"/>
  <c r="AF66"/>
  <c r="AC66"/>
  <c r="Z66"/>
  <c r="W66"/>
  <c r="T66"/>
  <c r="Q66"/>
  <c r="N66"/>
  <c r="K66"/>
  <c r="H66"/>
  <c r="E66"/>
  <c r="BD65"/>
  <c r="BA65"/>
  <c r="AX65"/>
  <c r="AU65"/>
  <c r="AR65"/>
  <c r="AO65"/>
  <c r="AL65"/>
  <c r="AI65"/>
  <c r="AF65"/>
  <c r="AC65"/>
  <c r="Z65"/>
  <c r="W65"/>
  <c r="T65"/>
  <c r="Q65"/>
  <c r="N65"/>
  <c r="K65"/>
  <c r="H65"/>
  <c r="E65"/>
  <c r="BD64"/>
  <c r="BA64"/>
  <c r="AX64"/>
  <c r="AU64"/>
  <c r="AR64"/>
  <c r="AO64"/>
  <c r="AL64"/>
  <c r="AI64"/>
  <c r="AF64"/>
  <c r="AC64"/>
  <c r="Z64"/>
  <c r="W64"/>
  <c r="T64"/>
  <c r="Q64"/>
  <c r="N64"/>
  <c r="K64"/>
  <c r="H64"/>
  <c r="E64"/>
  <c r="BD63"/>
  <c r="BA63"/>
  <c r="AX63"/>
  <c r="AU63"/>
  <c r="AR63"/>
  <c r="AO63"/>
  <c r="AL63"/>
  <c r="AI63"/>
  <c r="AF63"/>
  <c r="AC63"/>
  <c r="Z63"/>
  <c r="W63"/>
  <c r="T63"/>
  <c r="Q63"/>
  <c r="N63"/>
  <c r="K63"/>
  <c r="H63"/>
  <c r="E63"/>
  <c r="BD62"/>
  <c r="BA62"/>
  <c r="AX62"/>
  <c r="AU62"/>
  <c r="AR62"/>
  <c r="AO62"/>
  <c r="AL62"/>
  <c r="AI62"/>
  <c r="AF62"/>
  <c r="AC62"/>
  <c r="Z62"/>
  <c r="W62"/>
  <c r="T62"/>
  <c r="Q62"/>
  <c r="N62"/>
  <c r="K62"/>
  <c r="H62"/>
  <c r="E62"/>
  <c r="BD61"/>
  <c r="BA61"/>
  <c r="AX61"/>
  <c r="AU61"/>
  <c r="AR61"/>
  <c r="AO61"/>
  <c r="AL61"/>
  <c r="AI61"/>
  <c r="AF61"/>
  <c r="AC61"/>
  <c r="Z61"/>
  <c r="W61"/>
  <c r="T61"/>
  <c r="Q61"/>
  <c r="N61"/>
  <c r="K61"/>
  <c r="H61"/>
  <c r="E61"/>
  <c r="BD60"/>
  <c r="BA60"/>
  <c r="AX60"/>
  <c r="AU60"/>
  <c r="AR60"/>
  <c r="AO60"/>
  <c r="AL60"/>
  <c r="AI60"/>
  <c r="AF60"/>
  <c r="AC60"/>
  <c r="Z60"/>
  <c r="W60"/>
  <c r="T60"/>
  <c r="Q60"/>
  <c r="N60"/>
  <c r="K60"/>
  <c r="H60"/>
  <c r="E60"/>
  <c r="BD59"/>
  <c r="BA59"/>
  <c r="AX59"/>
  <c r="AU59"/>
  <c r="AR59"/>
  <c r="AO59"/>
  <c r="AL59"/>
  <c r="AI59"/>
  <c r="AF59"/>
  <c r="AC59"/>
  <c r="Z59"/>
  <c r="W59"/>
  <c r="T59"/>
  <c r="Q59"/>
  <c r="N59"/>
  <c r="K59"/>
  <c r="H59"/>
  <c r="E59"/>
  <c r="BD58"/>
  <c r="BA58"/>
  <c r="AX58"/>
  <c r="AU58"/>
  <c r="AR58"/>
  <c r="AO58"/>
  <c r="AL58"/>
  <c r="AI58"/>
  <c r="AF58"/>
  <c r="AC58"/>
  <c r="Z58"/>
  <c r="W58"/>
  <c r="T58"/>
  <c r="Q58"/>
  <c r="N58"/>
  <c r="K58"/>
  <c r="H58"/>
  <c r="E58"/>
  <c r="BD57"/>
  <c r="BA57"/>
  <c r="AX57"/>
  <c r="AU57"/>
  <c r="AR57"/>
  <c r="AO57"/>
  <c r="AL57"/>
  <c r="AI57"/>
  <c r="AF57"/>
  <c r="AC57"/>
  <c r="Z57"/>
  <c r="W57"/>
  <c r="T57"/>
  <c r="Q57"/>
  <c r="N57"/>
  <c r="K57"/>
  <c r="H57"/>
  <c r="E57"/>
  <c r="BD56"/>
  <c r="BA56"/>
  <c r="AX56"/>
  <c r="AU56"/>
  <c r="AR56"/>
  <c r="AO56"/>
  <c r="AL56"/>
  <c r="AI56"/>
  <c r="AF56"/>
  <c r="AC56"/>
  <c r="Z56"/>
  <c r="W56"/>
  <c r="T56"/>
  <c r="Q56"/>
  <c r="N56"/>
  <c r="K56"/>
  <c r="H56"/>
  <c r="E56"/>
  <c r="BD55"/>
  <c r="BA55"/>
  <c r="AX55"/>
  <c r="AU55"/>
  <c r="AR55"/>
  <c r="AO55"/>
  <c r="AL55"/>
  <c r="AI55"/>
  <c r="AF55"/>
  <c r="AC55"/>
  <c r="Z55"/>
  <c r="W55"/>
  <c r="T55"/>
  <c r="Q55"/>
  <c r="N55"/>
  <c r="K55"/>
  <c r="H55"/>
  <c r="E55"/>
  <c r="BD54"/>
  <c r="BA54"/>
  <c r="AX54"/>
  <c r="AU54"/>
  <c r="AR54"/>
  <c r="AO54"/>
  <c r="AL54"/>
  <c r="AI54"/>
  <c r="AF54"/>
  <c r="AC54"/>
  <c r="Z54"/>
  <c r="W54"/>
  <c r="T54"/>
  <c r="Q54"/>
  <c r="N54"/>
  <c r="K54"/>
  <c r="H54"/>
  <c r="E54"/>
  <c r="BD53"/>
  <c r="BA53"/>
  <c r="AX53"/>
  <c r="AU53"/>
  <c r="AR53"/>
  <c r="AO53"/>
  <c r="AL53"/>
  <c r="AI53"/>
  <c r="AF53"/>
  <c r="AC53"/>
  <c r="Z53"/>
  <c r="W53"/>
  <c r="T53"/>
  <c r="Q53"/>
  <c r="BD52"/>
  <c r="BA52"/>
  <c r="AX52"/>
  <c r="AU52"/>
  <c r="AR52"/>
  <c r="AO52"/>
  <c r="AL52"/>
  <c r="AI52"/>
  <c r="AF52"/>
  <c r="AC52"/>
  <c r="Z52"/>
  <c r="W52"/>
  <c r="T52"/>
  <c r="Q52"/>
  <c r="N52"/>
  <c r="K52"/>
  <c r="H52"/>
  <c r="E52"/>
  <c r="BD51"/>
  <c r="BA51"/>
  <c r="AX51"/>
  <c r="AU51"/>
  <c r="AR51"/>
  <c r="AO51"/>
  <c r="AL51"/>
  <c r="AI51"/>
  <c r="AF51"/>
  <c r="AC51"/>
  <c r="Z51"/>
  <c r="W51"/>
  <c r="T51"/>
  <c r="Q51"/>
  <c r="N51"/>
  <c r="K51"/>
  <c r="H51"/>
  <c r="BD50"/>
  <c r="BA50"/>
  <c r="AX50"/>
  <c r="AU50"/>
  <c r="AR50"/>
  <c r="AO50"/>
  <c r="AL50"/>
  <c r="AI50"/>
  <c r="AF50"/>
  <c r="AC50"/>
  <c r="Z50"/>
  <c r="W50"/>
  <c r="T50"/>
  <c r="Q50"/>
  <c r="N50"/>
  <c r="K50"/>
  <c r="H50"/>
  <c r="E50"/>
  <c r="BD49"/>
  <c r="BA49"/>
  <c r="AX49"/>
  <c r="AU49"/>
  <c r="AR49"/>
  <c r="AO49"/>
  <c r="AL49"/>
  <c r="AI49"/>
  <c r="AF49"/>
  <c r="AC49"/>
  <c r="Z49"/>
  <c r="W49"/>
  <c r="T49"/>
  <c r="Q49"/>
  <c r="N49"/>
  <c r="K49"/>
  <c r="H49"/>
  <c r="E49"/>
  <c r="BD48"/>
  <c r="BA48"/>
  <c r="AX48"/>
  <c r="AU48"/>
  <c r="AR48"/>
  <c r="AO48"/>
  <c r="AL48"/>
  <c r="AI48"/>
  <c r="AF48"/>
  <c r="AC48"/>
  <c r="Z48"/>
  <c r="W48"/>
  <c r="T48"/>
  <c r="Q48"/>
  <c r="N48"/>
  <c r="K48"/>
  <c r="H48"/>
  <c r="E48"/>
  <c r="BD47"/>
  <c r="BA47"/>
  <c r="AX47"/>
  <c r="AU47"/>
  <c r="AR47"/>
  <c r="AO47"/>
  <c r="AL47"/>
  <c r="AI47"/>
  <c r="AF47"/>
  <c r="AC47"/>
  <c r="Z47"/>
  <c r="W47"/>
  <c r="T47"/>
  <c r="Q47"/>
  <c r="N47"/>
  <c r="K47"/>
  <c r="H47"/>
  <c r="E47"/>
  <c r="BD46"/>
  <c r="BA46"/>
  <c r="AX46"/>
  <c r="AU46"/>
  <c r="AR46"/>
  <c r="AO46"/>
  <c r="AL46"/>
  <c r="AI46"/>
  <c r="AF46"/>
  <c r="AC46"/>
  <c r="Z46"/>
  <c r="W46"/>
  <c r="T46"/>
  <c r="Q46"/>
  <c r="N46"/>
  <c r="K46"/>
  <c r="H46"/>
  <c r="E46"/>
  <c r="BD45"/>
  <c r="BA45"/>
  <c r="AX45"/>
  <c r="AU45"/>
  <c r="AR45"/>
  <c r="AO45"/>
  <c r="AL45"/>
  <c r="AI45"/>
  <c r="AF45"/>
  <c r="AC45"/>
  <c r="Z45"/>
  <c r="W45"/>
  <c r="T45"/>
  <c r="Q45"/>
  <c r="N45"/>
  <c r="K45"/>
  <c r="H45"/>
  <c r="E45"/>
  <c r="BD44"/>
  <c r="BA44"/>
  <c r="AX44"/>
  <c r="AU44"/>
  <c r="AR44"/>
  <c r="AO44"/>
  <c r="AL44"/>
  <c r="AI44"/>
  <c r="AF44"/>
  <c r="AC44"/>
  <c r="Z44"/>
  <c r="W44"/>
  <c r="T44"/>
  <c r="Q44"/>
  <c r="N44"/>
  <c r="K44"/>
  <c r="H44"/>
  <c r="E44"/>
  <c r="BD43"/>
  <c r="BA43"/>
  <c r="AX43"/>
  <c r="AU43"/>
  <c r="AR43"/>
  <c r="AO43"/>
  <c r="AL43"/>
  <c r="AI43"/>
  <c r="AF43"/>
  <c r="AC43"/>
  <c r="Z43"/>
  <c r="W43"/>
  <c r="T43"/>
  <c r="Q43"/>
  <c r="N43"/>
  <c r="K43"/>
  <c r="H43"/>
  <c r="E43"/>
  <c r="BD42"/>
  <c r="BA42"/>
  <c r="AX42"/>
  <c r="AU42"/>
  <c r="AR42"/>
  <c r="AO42"/>
  <c r="AL42"/>
  <c r="AI42"/>
  <c r="AF42"/>
  <c r="AC42"/>
  <c r="Z42"/>
  <c r="W42"/>
  <c r="T42"/>
  <c r="Q42"/>
  <c r="N42"/>
  <c r="K42"/>
  <c r="H42"/>
  <c r="E42"/>
  <c r="BD41"/>
  <c r="BA41"/>
  <c r="AX41"/>
  <c r="AU41"/>
  <c r="AR41"/>
  <c r="AO41"/>
  <c r="AL41"/>
  <c r="AI41"/>
  <c r="AF41"/>
  <c r="AC41"/>
  <c r="Z41"/>
  <c r="W41"/>
  <c r="T41"/>
  <c r="Q41"/>
  <c r="N41"/>
  <c r="K41"/>
  <c r="H41"/>
  <c r="E41"/>
  <c r="BD40"/>
  <c r="BA40"/>
  <c r="AX40"/>
  <c r="AU40"/>
  <c r="AR40"/>
  <c r="AO40"/>
  <c r="AL40"/>
  <c r="AI40"/>
  <c r="AF40"/>
  <c r="AC40"/>
  <c r="Z40"/>
  <c r="W40"/>
  <c r="T40"/>
  <c r="Q40"/>
  <c r="N40"/>
  <c r="K40"/>
  <c r="H40"/>
  <c r="E40"/>
  <c r="BD39"/>
  <c r="BA39"/>
  <c r="AX39"/>
  <c r="AU39"/>
  <c r="AR39"/>
  <c r="AO39"/>
  <c r="AL39"/>
  <c r="AI39"/>
  <c r="AF39"/>
  <c r="AC39"/>
  <c r="Z39"/>
  <c r="W39"/>
  <c r="T39"/>
  <c r="Q39"/>
  <c r="N39"/>
  <c r="K39"/>
  <c r="H39"/>
  <c r="E39"/>
  <c r="BD38"/>
  <c r="BA38"/>
  <c r="AX38"/>
  <c r="AU38"/>
  <c r="AR38"/>
  <c r="AO38"/>
  <c r="AL38"/>
  <c r="AI38"/>
  <c r="AF38"/>
  <c r="AC38"/>
  <c r="Z38"/>
  <c r="W38"/>
  <c r="T38"/>
  <c r="Q38"/>
  <c r="N38"/>
  <c r="K38"/>
  <c r="H38"/>
  <c r="E38"/>
  <c r="BD37"/>
  <c r="BA37"/>
  <c r="AX37"/>
  <c r="AU37"/>
  <c r="AR37"/>
  <c r="AO37"/>
  <c r="AL37"/>
  <c r="AI37"/>
  <c r="AF37"/>
  <c r="AC37"/>
  <c r="Z37"/>
  <c r="W37"/>
  <c r="T37"/>
  <c r="Q37"/>
  <c r="N37"/>
  <c r="K37"/>
  <c r="H37"/>
  <c r="E37"/>
  <c r="BD36"/>
  <c r="BA36"/>
  <c r="AX36"/>
  <c r="AU36"/>
  <c r="AR36"/>
  <c r="AO36"/>
  <c r="AL36"/>
  <c r="AI36"/>
  <c r="AF36"/>
  <c r="AC36"/>
  <c r="Z36"/>
  <c r="W36"/>
  <c r="T36"/>
  <c r="Q36"/>
  <c r="BD35"/>
  <c r="BA35"/>
  <c r="AX35"/>
  <c r="AU35"/>
  <c r="AR35"/>
  <c r="AO35"/>
  <c r="AL35"/>
  <c r="AI35"/>
  <c r="AF35"/>
  <c r="AC35"/>
  <c r="Z35"/>
  <c r="W35"/>
  <c r="T35"/>
  <c r="Q35"/>
  <c r="N35"/>
  <c r="K35"/>
  <c r="H35"/>
  <c r="E35"/>
  <c r="BD34"/>
  <c r="BA34"/>
  <c r="AX34"/>
  <c r="AU34"/>
  <c r="AR34"/>
  <c r="AO34"/>
  <c r="AL34"/>
  <c r="AI34"/>
  <c r="AF34"/>
  <c r="AC34"/>
  <c r="Z34"/>
  <c r="W34"/>
  <c r="T34"/>
  <c r="Q34"/>
  <c r="N34"/>
  <c r="K34"/>
  <c r="H34"/>
  <c r="BD33"/>
  <c r="BA33"/>
  <c r="AX33"/>
  <c r="AU33"/>
  <c r="AR33"/>
  <c r="AO33"/>
  <c r="AL33"/>
  <c r="AI33"/>
  <c r="AF33"/>
  <c r="AC33"/>
  <c r="Z33"/>
  <c r="W33"/>
  <c r="T33"/>
  <c r="Q33"/>
  <c r="N33"/>
  <c r="K33"/>
  <c r="H33"/>
  <c r="E33"/>
  <c r="BD32"/>
  <c r="BA32"/>
  <c r="AX32"/>
  <c r="AU32"/>
  <c r="AR32"/>
  <c r="AO32"/>
  <c r="AL32"/>
  <c r="AI32"/>
  <c r="AF32"/>
  <c r="AC32"/>
  <c r="Z32"/>
  <c r="W32"/>
  <c r="T32"/>
  <c r="Q32"/>
  <c r="N32"/>
  <c r="K32"/>
  <c r="H32"/>
  <c r="E32"/>
  <c r="BD31"/>
  <c r="BA31"/>
  <c r="AX31"/>
  <c r="AU31"/>
  <c r="AR31"/>
  <c r="AO31"/>
  <c r="AL31"/>
  <c r="AI31"/>
  <c r="AF31"/>
  <c r="AC31"/>
  <c r="Z31"/>
  <c r="W31"/>
  <c r="T31"/>
  <c r="Q31"/>
  <c r="N31"/>
  <c r="K31"/>
  <c r="H31"/>
  <c r="E31"/>
  <c r="BD30"/>
  <c r="BA30"/>
  <c r="AX30"/>
  <c r="AU30"/>
  <c r="AR30"/>
  <c r="AO30"/>
  <c r="AL30"/>
  <c r="AI30"/>
  <c r="AF30"/>
  <c r="AC30"/>
  <c r="Z30"/>
  <c r="W30"/>
  <c r="T30"/>
  <c r="Q30"/>
  <c r="N30"/>
  <c r="K30"/>
  <c r="H30"/>
  <c r="E30"/>
  <c r="BD29"/>
  <c r="BA29"/>
  <c r="AX29"/>
  <c r="AU29"/>
  <c r="AR29"/>
  <c r="AO29"/>
  <c r="AL29"/>
  <c r="AI29"/>
  <c r="AF29"/>
  <c r="AC29"/>
  <c r="Z29"/>
  <c r="W29"/>
  <c r="T29"/>
  <c r="Q29"/>
  <c r="N29"/>
  <c r="K29"/>
  <c r="H29"/>
  <c r="E29"/>
  <c r="BD28"/>
  <c r="BA28"/>
  <c r="AX28"/>
  <c r="AU28"/>
  <c r="AR28"/>
  <c r="AO28"/>
  <c r="AL28"/>
  <c r="AI28"/>
  <c r="AF28"/>
  <c r="AC28"/>
  <c r="Z28"/>
  <c r="W28"/>
  <c r="T28"/>
  <c r="Q28"/>
  <c r="N28"/>
  <c r="K28"/>
  <c r="H28"/>
  <c r="E28"/>
  <c r="BD27"/>
  <c r="BA27"/>
  <c r="AX27"/>
  <c r="AU27"/>
  <c r="AR27"/>
  <c r="AO27"/>
  <c r="AL27"/>
  <c r="AI27"/>
  <c r="AF27"/>
  <c r="AC27"/>
  <c r="Z27"/>
  <c r="W27"/>
  <c r="T27"/>
  <c r="Q27"/>
  <c r="N27"/>
  <c r="K27"/>
  <c r="H27"/>
  <c r="E27"/>
  <c r="BD26"/>
  <c r="BA26"/>
  <c r="AX26"/>
  <c r="AU26"/>
  <c r="AR26"/>
  <c r="AO26"/>
  <c r="AL26"/>
  <c r="AI26"/>
  <c r="AF26"/>
  <c r="AC26"/>
  <c r="Z26"/>
  <c r="W26"/>
  <c r="T26"/>
  <c r="Q26"/>
  <c r="N26"/>
  <c r="K26"/>
  <c r="H26"/>
  <c r="E26"/>
  <c r="BD25"/>
  <c r="BA25"/>
  <c r="AX25"/>
  <c r="AU25"/>
  <c r="AR25"/>
  <c r="AO25"/>
  <c r="AL25"/>
  <c r="AI25"/>
  <c r="AF25"/>
  <c r="AC25"/>
  <c r="Z25"/>
  <c r="W25"/>
  <c r="T25"/>
  <c r="Q25"/>
  <c r="N25"/>
  <c r="K25"/>
  <c r="H25"/>
  <c r="E25"/>
  <c r="BD24"/>
  <c r="BA24"/>
  <c r="AX24"/>
  <c r="AU24"/>
  <c r="AR24"/>
  <c r="AO24"/>
  <c r="AL24"/>
  <c r="AI24"/>
  <c r="AF24"/>
  <c r="AC24"/>
  <c r="Z24"/>
  <c r="W24"/>
  <c r="T24"/>
  <c r="Q24"/>
  <c r="N24"/>
  <c r="K24"/>
  <c r="H24"/>
  <c r="E24"/>
  <c r="BD23"/>
  <c r="BA23"/>
  <c r="AX23"/>
  <c r="AU23"/>
  <c r="AR23"/>
  <c r="AO23"/>
  <c r="AL23"/>
  <c r="AI23"/>
  <c r="AF23"/>
  <c r="AC23"/>
  <c r="Z23"/>
  <c r="W23"/>
  <c r="T23"/>
  <c r="Q23"/>
  <c r="N23"/>
  <c r="K23"/>
  <c r="H23"/>
  <c r="E23"/>
  <c r="BD22"/>
  <c r="BA22"/>
  <c r="AX22"/>
  <c r="AU22"/>
  <c r="AR22"/>
  <c r="AO22"/>
  <c r="AL22"/>
  <c r="AI22"/>
  <c r="AF22"/>
  <c r="AC22"/>
  <c r="Z22"/>
  <c r="W22"/>
  <c r="T22"/>
  <c r="Q22"/>
  <c r="N22"/>
  <c r="K22"/>
  <c r="H22"/>
  <c r="E22"/>
  <c r="BD21"/>
  <c r="BA21"/>
  <c r="AX21"/>
  <c r="AU21"/>
  <c r="AR21"/>
  <c r="AO21"/>
  <c r="AL21"/>
  <c r="AI21"/>
  <c r="AF21"/>
  <c r="AC21"/>
  <c r="Z21"/>
  <c r="W21"/>
  <c r="T21"/>
  <c r="Q21"/>
  <c r="N21"/>
  <c r="K21"/>
  <c r="H21"/>
  <c r="E21"/>
  <c r="BD20"/>
  <c r="BA20"/>
  <c r="AX20"/>
  <c r="AU20"/>
  <c r="AR20"/>
  <c r="AO20"/>
  <c r="AL20"/>
  <c r="AI20"/>
  <c r="AF20"/>
  <c r="AC20"/>
  <c r="Z20"/>
  <c r="W20"/>
  <c r="T20"/>
  <c r="Q20"/>
  <c r="N20"/>
  <c r="K20"/>
  <c r="H20"/>
  <c r="E20"/>
  <c r="AA714" i="12"/>
  <c r="Y714"/>
  <c r="H713"/>
  <c r="F713"/>
  <c r="H712"/>
  <c r="F712"/>
  <c r="H711"/>
  <c r="F711"/>
  <c r="H709"/>
  <c r="F709"/>
  <c r="H708"/>
  <c r="F708"/>
  <c r="H707"/>
  <c r="F707"/>
  <c r="H706"/>
  <c r="F706"/>
  <c r="H705"/>
  <c r="F705"/>
  <c r="H704"/>
  <c r="F704"/>
  <c r="H703"/>
  <c r="F703"/>
  <c r="H702"/>
  <c r="F702"/>
  <c r="H701"/>
  <c r="F701"/>
  <c r="H700"/>
  <c r="F700"/>
  <c r="H699"/>
  <c r="F699"/>
  <c r="H698"/>
  <c r="F698"/>
  <c r="H697"/>
  <c r="F697"/>
  <c r="H696"/>
  <c r="F696"/>
  <c r="H695"/>
  <c r="F695"/>
  <c r="H694"/>
  <c r="F694"/>
  <c r="H693"/>
  <c r="F693"/>
  <c r="H692"/>
  <c r="F692"/>
  <c r="H691"/>
  <c r="F691"/>
  <c r="H690"/>
  <c r="F690"/>
  <c r="H689"/>
  <c r="F689"/>
  <c r="H688"/>
  <c r="F688"/>
  <c r="L687"/>
  <c r="J687"/>
  <c r="H687"/>
  <c r="F687"/>
  <c r="L686"/>
  <c r="J686"/>
  <c r="H686"/>
  <c r="F686"/>
  <c r="L684"/>
  <c r="J684"/>
  <c r="H684"/>
  <c r="F684"/>
  <c r="L682"/>
  <c r="J682"/>
  <c r="H682"/>
  <c r="F682"/>
  <c r="H685"/>
  <c r="F685"/>
  <c r="L683"/>
  <c r="J683"/>
  <c r="H683"/>
  <c r="F683"/>
  <c r="L681"/>
  <c r="J681"/>
  <c r="H681"/>
  <c r="F681"/>
  <c r="AB680"/>
  <c r="Z680"/>
  <c r="X680"/>
  <c r="V680"/>
  <c r="AB257" i="28" s="1"/>
  <c r="AC257" s="1"/>
  <c r="T680" i="12"/>
  <c r="R680"/>
  <c r="L680"/>
  <c r="J680"/>
  <c r="H680"/>
  <c r="F680"/>
  <c r="L676"/>
  <c r="J676"/>
  <c r="H676"/>
  <c r="F676"/>
  <c r="P679"/>
  <c r="N679"/>
  <c r="L679"/>
  <c r="J679"/>
  <c r="H679"/>
  <c r="F679"/>
  <c r="AN678"/>
  <c r="AL678"/>
  <c r="L678"/>
  <c r="J678"/>
  <c r="H678"/>
  <c r="F678"/>
  <c r="T677"/>
  <c r="R677"/>
  <c r="P677"/>
  <c r="N677"/>
  <c r="L677"/>
  <c r="J677"/>
  <c r="H677"/>
  <c r="F677"/>
  <c r="P675"/>
  <c r="N675"/>
  <c r="L675"/>
  <c r="J675"/>
  <c r="H675"/>
  <c r="F675"/>
  <c r="S664"/>
  <c r="H654"/>
  <c r="G654"/>
  <c r="L588"/>
  <c r="K588"/>
  <c r="J588"/>
  <c r="I588"/>
  <c r="Y583"/>
  <c r="G430"/>
  <c r="G429"/>
  <c r="G428"/>
  <c r="G427"/>
  <c r="G426"/>
  <c r="G425"/>
  <c r="G424"/>
  <c r="G423"/>
  <c r="G422"/>
  <c r="G421"/>
  <c r="G420"/>
  <c r="G419"/>
  <c r="G418"/>
  <c r="G417"/>
  <c r="G416"/>
  <c r="G415"/>
  <c r="G414"/>
  <c r="K413"/>
  <c r="I413"/>
  <c r="G413"/>
  <c r="K412"/>
  <c r="I412"/>
  <c r="G412"/>
  <c r="K411"/>
  <c r="I411"/>
  <c r="G411"/>
  <c r="K410"/>
  <c r="I410"/>
  <c r="G410"/>
  <c r="K409"/>
  <c r="I409"/>
  <c r="G409"/>
  <c r="K408"/>
  <c r="I408"/>
  <c r="G408"/>
  <c r="K407"/>
  <c r="I407"/>
  <c r="G407"/>
  <c r="K406"/>
  <c r="I406"/>
  <c r="G406"/>
  <c r="K405"/>
  <c r="I405"/>
  <c r="G405"/>
  <c r="K404"/>
  <c r="I404"/>
  <c r="G404"/>
  <c r="L344"/>
  <c r="J344"/>
  <c r="L342"/>
  <c r="J342"/>
  <c r="L341"/>
  <c r="J341"/>
  <c r="L339"/>
  <c r="J339"/>
  <c r="L338"/>
  <c r="J338"/>
  <c r="P337"/>
  <c r="N337"/>
  <c r="L337"/>
  <c r="J337"/>
  <c r="L336"/>
  <c r="J336"/>
  <c r="L333"/>
  <c r="J333"/>
  <c r="F333"/>
  <c r="E162" i="28" s="1"/>
  <c r="L332" i="12"/>
  <c r="J332"/>
  <c r="AB331"/>
  <c r="Z331"/>
  <c r="X331"/>
  <c r="V331"/>
  <c r="T331"/>
  <c r="R331"/>
  <c r="P331"/>
  <c r="N331"/>
  <c r="L331"/>
  <c r="J331"/>
  <c r="AN330"/>
  <c r="AL330"/>
  <c r="L330"/>
  <c r="J330"/>
  <c r="K284"/>
  <c r="I284"/>
  <c r="X156"/>
  <c r="V156"/>
  <c r="T156"/>
  <c r="R156"/>
  <c r="AN124"/>
  <c r="AM124"/>
  <c r="AL124"/>
  <c r="AB124"/>
  <c r="Z124"/>
  <c r="P124"/>
  <c r="N124"/>
  <c r="P123"/>
  <c r="N123"/>
  <c r="D224" i="19" l="1"/>
  <c r="H290" i="28"/>
  <c r="E288"/>
  <c r="E287"/>
  <c r="H286"/>
  <c r="E286"/>
  <c r="E285"/>
  <c r="E284"/>
  <c r="E283"/>
  <c r="K281"/>
  <c r="E281"/>
  <c r="E280"/>
  <c r="K279"/>
  <c r="K278"/>
  <c r="E278"/>
  <c r="K277"/>
  <c r="E277"/>
  <c r="E276"/>
  <c r="K275"/>
  <c r="H275"/>
  <c r="E275"/>
  <c r="E241"/>
  <c r="H235"/>
  <c r="E235"/>
  <c r="E157"/>
  <c r="E71"/>
  <c r="E18"/>
  <c r="H30" i="19"/>
  <c r="G30"/>
  <c r="F30"/>
  <c r="E30"/>
  <c r="D30"/>
  <c r="C30"/>
  <c r="B30"/>
  <c r="H29"/>
  <c r="G29"/>
  <c r="F29"/>
  <c r="E29"/>
  <c r="D29"/>
  <c r="C29"/>
  <c r="B29"/>
  <c r="H28"/>
  <c r="G28"/>
  <c r="F28"/>
  <c r="E28"/>
  <c r="D28"/>
  <c r="C28"/>
  <c r="B28"/>
  <c r="H27"/>
  <c r="G27"/>
  <c r="F27"/>
  <c r="E27"/>
  <c r="D27"/>
  <c r="C27"/>
  <c r="B27"/>
  <c r="H25"/>
  <c r="G25"/>
  <c r="F25"/>
  <c r="E25"/>
  <c r="D25"/>
  <c r="C25"/>
  <c r="B25"/>
  <c r="H24"/>
  <c r="G24"/>
  <c r="F24"/>
  <c r="E24"/>
  <c r="D24"/>
  <c r="C24"/>
  <c r="B24"/>
  <c r="H23"/>
  <c r="G23"/>
  <c r="F23"/>
  <c r="E23"/>
  <c r="D23"/>
  <c r="C23"/>
  <c r="B23"/>
  <c r="H22"/>
  <c r="G22"/>
  <c r="F22"/>
  <c r="E22"/>
  <c r="D22"/>
  <c r="C22"/>
  <c r="B22"/>
  <c r="H20"/>
  <c r="G20"/>
  <c r="F20"/>
  <c r="E20"/>
  <c r="D20"/>
  <c r="C20"/>
  <c r="B20"/>
  <c r="H19"/>
  <c r="G19"/>
  <c r="F19"/>
  <c r="E19"/>
  <c r="D19"/>
  <c r="C19"/>
  <c r="B19"/>
  <c r="H18"/>
  <c r="G18"/>
  <c r="F18"/>
  <c r="E18"/>
  <c r="D18"/>
  <c r="C18"/>
  <c r="B18"/>
  <c r="H17"/>
  <c r="G17"/>
  <c r="F17"/>
  <c r="E17"/>
  <c r="D17"/>
  <c r="C17"/>
  <c r="B17"/>
  <c r="H15"/>
  <c r="G15"/>
  <c r="F15"/>
  <c r="E15"/>
  <c r="D15"/>
  <c r="C15"/>
  <c r="B15"/>
  <c r="H14"/>
  <c r="G14"/>
  <c r="F14"/>
  <c r="E14"/>
  <c r="D14"/>
  <c r="C14"/>
  <c r="B14"/>
  <c r="H13"/>
  <c r="G13"/>
  <c r="F13"/>
  <c r="E13"/>
  <c r="D13"/>
  <c r="C13"/>
  <c r="B13"/>
  <c r="H12"/>
  <c r="G12"/>
  <c r="F12"/>
  <c r="E12"/>
  <c r="D12"/>
  <c r="C12"/>
  <c r="B12"/>
  <c r="H10"/>
  <c r="G10"/>
  <c r="F10"/>
  <c r="E10"/>
  <c r="D10"/>
  <c r="C10"/>
  <c r="B10"/>
  <c r="BD19" i="28"/>
  <c r="BA19"/>
  <c r="AX19"/>
  <c r="AU19"/>
  <c r="AR19"/>
  <c r="AO19"/>
  <c r="AL19"/>
  <c r="AI19"/>
  <c r="AF19"/>
  <c r="AC19"/>
  <c r="Z19"/>
  <c r="W19"/>
  <c r="T19"/>
  <c r="Q19"/>
  <c r="BD18"/>
  <c r="BA18"/>
  <c r="AX18"/>
  <c r="AU18"/>
  <c r="AR18"/>
  <c r="AO18"/>
  <c r="AL18"/>
  <c r="AI18"/>
  <c r="AF18"/>
  <c r="AC18"/>
  <c r="Z18"/>
  <c r="W18"/>
  <c r="T18"/>
  <c r="Q18"/>
  <c r="N18"/>
  <c r="K18"/>
  <c r="H18"/>
  <c r="BD17"/>
  <c r="BA17"/>
  <c r="AX17"/>
  <c r="AU17"/>
  <c r="AR17"/>
  <c r="AO17"/>
  <c r="AL17"/>
  <c r="AI17"/>
  <c r="AF17"/>
  <c r="AC17"/>
  <c r="Z17"/>
  <c r="W17"/>
  <c r="T17"/>
  <c r="Q17"/>
  <c r="N17"/>
  <c r="K17"/>
  <c r="H17"/>
  <c r="BD16"/>
  <c r="BA16"/>
  <c r="AX16"/>
  <c r="AU16"/>
  <c r="AR16"/>
  <c r="AO16"/>
  <c r="AL16"/>
  <c r="AI16"/>
  <c r="AF16"/>
  <c r="AC16"/>
  <c r="Z16"/>
  <c r="W16"/>
  <c r="T16"/>
  <c r="Q16"/>
  <c r="N16"/>
  <c r="K16"/>
  <c r="H16"/>
  <c r="E16"/>
  <c r="BD15"/>
  <c r="BA15"/>
  <c r="AX15"/>
  <c r="AU15"/>
  <c r="AR15"/>
  <c r="AO15"/>
  <c r="AL15"/>
  <c r="AI15"/>
  <c r="AF15"/>
  <c r="AC15"/>
  <c r="Z15"/>
  <c r="W15"/>
  <c r="T15"/>
  <c r="Q15"/>
  <c r="N15"/>
  <c r="K15"/>
  <c r="H15"/>
  <c r="E15"/>
  <c r="BD14"/>
  <c r="BA14"/>
  <c r="AX14"/>
  <c r="AU14"/>
  <c r="AR14"/>
  <c r="AO14"/>
  <c r="AL14"/>
  <c r="AI14"/>
  <c r="AF14"/>
  <c r="AC14"/>
  <c r="Z14"/>
  <c r="W14"/>
  <c r="T14"/>
  <c r="Q14"/>
  <c r="N14"/>
  <c r="K14"/>
  <c r="H14"/>
  <c r="E14"/>
  <c r="BD13"/>
  <c r="BA13"/>
  <c r="AX13"/>
  <c r="AU13"/>
  <c r="AR13"/>
  <c r="AO13"/>
  <c r="AL13"/>
  <c r="AI13"/>
  <c r="AF13"/>
  <c r="AC13"/>
  <c r="Z13"/>
  <c r="W13"/>
  <c r="T13"/>
  <c r="Q13"/>
  <c r="N13"/>
  <c r="K13"/>
  <c r="H13"/>
  <c r="E13"/>
  <c r="BD12"/>
  <c r="BA12"/>
  <c r="AX12"/>
  <c r="AU12"/>
  <c r="AR12"/>
  <c r="AO12"/>
  <c r="AL12"/>
  <c r="AI12"/>
  <c r="AF12"/>
  <c r="AC12"/>
  <c r="Z12"/>
  <c r="W12"/>
  <c r="T12"/>
  <c r="Q12"/>
  <c r="N12"/>
  <c r="K12"/>
  <c r="H12"/>
  <c r="E12"/>
  <c r="BD11"/>
  <c r="BA11"/>
  <c r="AX11"/>
  <c r="AU11"/>
  <c r="AR11"/>
  <c r="AO11"/>
  <c r="AL11"/>
  <c r="AI11"/>
  <c r="AF11"/>
  <c r="AC11"/>
  <c r="Z11"/>
  <c r="W11"/>
  <c r="T11"/>
  <c r="Q11"/>
  <c r="N11"/>
  <c r="K11"/>
  <c r="H11"/>
  <c r="E11"/>
  <c r="BD10"/>
  <c r="BA10"/>
  <c r="AX10"/>
  <c r="AU10"/>
  <c r="AR10"/>
  <c r="AO10"/>
  <c r="AL10"/>
  <c r="AI10"/>
  <c r="AF10"/>
  <c r="AC10"/>
  <c r="Z10"/>
  <c r="W10"/>
  <c r="T10"/>
  <c r="Q10"/>
  <c r="N10"/>
  <c r="K10"/>
  <c r="H10"/>
  <c r="E10"/>
  <c r="BD9"/>
  <c r="BA9"/>
  <c r="AX9"/>
  <c r="AU9"/>
  <c r="AR9"/>
  <c r="AO9"/>
  <c r="AL9"/>
  <c r="AI9"/>
  <c r="AF9"/>
  <c r="AC9"/>
  <c r="Z9"/>
  <c r="W9"/>
  <c r="T9"/>
  <c r="Q9"/>
  <c r="N9"/>
  <c r="K9"/>
  <c r="H9"/>
  <c r="E9"/>
  <c r="BD8"/>
  <c r="BA8"/>
  <c r="AX8"/>
  <c r="AU8"/>
  <c r="AR8"/>
  <c r="AO8"/>
  <c r="AL8"/>
  <c r="AI8"/>
  <c r="AF8"/>
  <c r="AC8"/>
  <c r="Z8"/>
  <c r="W8"/>
  <c r="T8"/>
  <c r="Q8"/>
  <c r="N8"/>
  <c r="K8"/>
  <c r="H8"/>
  <c r="E8"/>
  <c r="BD7"/>
  <c r="BA7"/>
  <c r="AX7"/>
  <c r="AU7"/>
  <c r="AR7"/>
  <c r="AO7"/>
  <c r="AL7"/>
  <c r="AI7"/>
  <c r="AF7"/>
  <c r="AC7"/>
  <c r="Z7"/>
  <c r="W7"/>
  <c r="T7"/>
  <c r="Q7"/>
  <c r="N7"/>
  <c r="K7"/>
  <c r="H7"/>
  <c r="E7"/>
  <c r="BD6"/>
  <c r="BA6"/>
  <c r="AX6"/>
  <c r="AU6"/>
  <c r="AR6"/>
  <c r="AO6"/>
  <c r="AL6"/>
  <c r="AI6"/>
  <c r="AF6"/>
  <c r="AC6"/>
  <c r="Z6"/>
  <c r="W6"/>
  <c r="T6"/>
  <c r="Q6"/>
  <c r="N6"/>
  <c r="K6"/>
  <c r="H6"/>
  <c r="E6"/>
  <c r="BD5"/>
  <c r="BA5"/>
  <c r="AX5"/>
  <c r="AU5"/>
  <c r="AR5"/>
  <c r="AO5"/>
  <c r="AL5"/>
  <c r="AI5"/>
  <c r="AF5"/>
  <c r="AC5"/>
  <c r="Z5"/>
  <c r="W5"/>
  <c r="T5"/>
  <c r="Q5"/>
  <c r="N5"/>
  <c r="K5"/>
  <c r="H5"/>
  <c r="E5"/>
  <c r="BD4"/>
  <c r="BA4"/>
  <c r="AX4"/>
  <c r="AU4"/>
  <c r="AR4"/>
  <c r="AO4"/>
  <c r="AL4"/>
  <c r="AI4"/>
  <c r="AF4"/>
  <c r="AC4"/>
  <c r="Z4"/>
  <c r="W4"/>
  <c r="T4"/>
  <c r="Q4"/>
  <c r="N4"/>
  <c r="K4"/>
  <c r="H4"/>
  <c r="E4"/>
  <c r="BD3"/>
  <c r="BA3"/>
  <c r="AX3"/>
  <c r="AU3"/>
  <c r="AR3"/>
  <c r="AO3"/>
  <c r="AL3"/>
  <c r="AI3"/>
  <c r="AF3"/>
  <c r="AC3"/>
  <c r="Z3"/>
  <c r="W3"/>
  <c r="T3"/>
  <c r="Q3"/>
  <c r="N3"/>
  <c r="K3"/>
  <c r="H3"/>
  <c r="E3"/>
</calcChain>
</file>

<file path=xl/comments1.xml><?xml version="1.0" encoding="utf-8"?>
<comments xmlns="http://schemas.openxmlformats.org/spreadsheetml/2006/main">
  <authors>
    <author>JLM</author>
  </authors>
  <commentList>
    <comment ref="M1" authorId="0">
      <text>
        <r>
          <rPr>
            <b/>
            <sz val="10"/>
            <color indexed="81"/>
            <rFont val="Tahoma"/>
            <family val="2"/>
          </rPr>
          <t xml:space="preserve">JLM: </t>
        </r>
        <r>
          <rPr>
            <sz val="10"/>
            <color indexed="18"/>
            <rFont val="Tahoma"/>
            <family val="2"/>
          </rPr>
          <t>Please update this table to reflect any mid-year tuition/fee increases during 2007-08.  Color code new entries even is they remain the same so we know  you completed this section.</t>
        </r>
      </text>
    </comment>
  </commentList>
</comments>
</file>

<file path=xl/comments2.xml><?xml version="1.0" encoding="utf-8"?>
<comments xmlns="http://schemas.openxmlformats.org/spreadsheetml/2006/main">
  <authors>
    <author>mloverde</author>
  </authors>
  <commentList>
    <comment ref="A1" authorId="0">
      <text>
        <r>
          <rPr>
            <b/>
            <sz val="8"/>
            <color indexed="81"/>
            <rFont val="Tahoma"/>
            <family val="2"/>
          </rPr>
          <t>when computing medians for All 4-yr schools, do not include specialized institutions (type 15)</t>
        </r>
      </text>
    </comment>
  </commentList>
</comments>
</file>

<file path=xl/comments3.xml><?xml version="1.0" encoding="utf-8"?>
<comments xmlns="http://schemas.openxmlformats.org/spreadsheetml/2006/main">
  <authors>
    <author>mloverde</author>
    <author>Alicia A. Diaz</author>
    <author>jmarks</author>
    <author>Alicia A Diaz</author>
    <author>adiaz</author>
    <author>jennifer berg</author>
    <author>heltonbl</author>
    <author>mperry</author>
    <author>WVHEPC</author>
    <author>Jeannie Reed</author>
  </authors>
  <commentList>
    <comment ref="B14" authorId="0">
      <text>
        <r>
          <rPr>
            <b/>
            <sz val="8"/>
            <color indexed="81"/>
            <rFont val="Tahoma"/>
            <family val="2"/>
          </rPr>
          <t>Met criteria for classification as a SREB Four-Year 5 in 2007-08, 2008-09.</t>
        </r>
      </text>
    </comment>
    <comment ref="C19" authorId="1">
      <text>
        <r>
          <rPr>
            <b/>
            <sz val="8"/>
            <color indexed="81"/>
            <rFont val="Tahoma"/>
            <family val="2"/>
          </rPr>
          <t>No Freshmen, Upper Level school - will not have data in every section.</t>
        </r>
      </text>
    </comment>
    <comment ref="B23" authorId="0">
      <text>
        <r>
          <rPr>
            <b/>
            <sz val="8"/>
            <color indexed="81"/>
            <rFont val="Tahoma"/>
            <family val="2"/>
          </rPr>
          <t>Met criteria for two-year 3 ("10") in 2008-09</t>
        </r>
      </text>
    </comment>
    <comment ref="B24" authorId="2">
      <text>
        <r>
          <rPr>
            <b/>
            <sz val="10"/>
            <color indexed="81"/>
            <rFont val="Tahoma"/>
            <family val="2"/>
          </rPr>
          <t>jmarks:</t>
        </r>
        <r>
          <rPr>
            <sz val="10"/>
            <color indexed="81"/>
            <rFont val="Tahoma"/>
            <family val="2"/>
          </rPr>
          <t xml:space="preserve">
Met criteria for Two-Year 1 in 2009-10.</t>
        </r>
      </text>
    </comment>
    <comment ref="B31" authorId="2">
      <text>
        <r>
          <rPr>
            <b/>
            <sz val="10"/>
            <color indexed="81"/>
            <rFont val="Tahoma"/>
            <family val="2"/>
          </rPr>
          <t>jmarks:</t>
        </r>
        <r>
          <rPr>
            <sz val="10"/>
            <color indexed="81"/>
            <rFont val="Tahoma"/>
            <family val="2"/>
          </rPr>
          <t xml:space="preserve">
Met criteria for Two-Year 1 in 2009-10.</t>
        </r>
      </text>
    </comment>
    <comment ref="B33" authorId="2">
      <text>
        <r>
          <rPr>
            <b/>
            <sz val="10"/>
            <color indexed="81"/>
            <rFont val="Tahoma"/>
            <family val="2"/>
          </rPr>
          <t>jmarks:</t>
        </r>
        <r>
          <rPr>
            <sz val="10"/>
            <color indexed="81"/>
            <rFont val="Tahoma"/>
            <family val="2"/>
          </rPr>
          <t xml:space="preserve">
Met criteria for Two-Year 2 in 2009-10.</t>
        </r>
      </text>
    </comment>
    <comment ref="B35" authorId="2">
      <text>
        <r>
          <rPr>
            <b/>
            <sz val="10"/>
            <color indexed="81"/>
            <rFont val="Tahoma"/>
            <family val="2"/>
          </rPr>
          <t>jmarks:</t>
        </r>
        <r>
          <rPr>
            <sz val="10"/>
            <color indexed="81"/>
            <rFont val="Tahoma"/>
            <family val="2"/>
          </rPr>
          <t xml:space="preserve">
Met criteria for Two-Year 2 in 2009-10.</t>
        </r>
      </text>
    </comment>
    <comment ref="B39" authorId="1">
      <text>
        <r>
          <rPr>
            <sz val="10"/>
            <color indexed="81"/>
            <rFont val="Tahoma"/>
            <family val="2"/>
          </rPr>
          <t>Met the criteria for Two-Year 2 in 2008-09 and 2009-10.</t>
        </r>
      </text>
    </comment>
    <comment ref="G43" authorId="3">
      <text>
        <r>
          <rPr>
            <b/>
            <sz val="9"/>
            <color indexed="81"/>
            <rFont val="Tahoma"/>
            <family val="2"/>
          </rPr>
          <t>Alicia A Diaz:</t>
        </r>
        <r>
          <rPr>
            <sz val="9"/>
            <color indexed="81"/>
            <rFont val="Tahoma"/>
            <family val="2"/>
          </rPr>
          <t xml:space="preserve">
Not Applicable</t>
        </r>
      </text>
    </comment>
    <comment ref="H43" authorId="3">
      <text>
        <r>
          <rPr>
            <b/>
            <sz val="9"/>
            <color indexed="81"/>
            <rFont val="Tahoma"/>
            <family val="2"/>
          </rPr>
          <t>Alicia A Diaz:</t>
        </r>
        <r>
          <rPr>
            <sz val="9"/>
            <color indexed="81"/>
            <rFont val="Tahoma"/>
            <family val="2"/>
          </rPr>
          <t xml:space="preserve">
Not Applicable</t>
        </r>
      </text>
    </comment>
    <comment ref="B52" authorId="0">
      <text>
        <r>
          <rPr>
            <sz val="10"/>
            <color indexed="81"/>
            <rFont val="Tahoma"/>
            <family val="2"/>
          </rPr>
          <t>Met the criteria for Four-Year 4 in 2009-10</t>
        </r>
      </text>
    </comment>
    <comment ref="B58" authorId="2">
      <text>
        <r>
          <rPr>
            <b/>
            <sz val="10"/>
            <color indexed="81"/>
            <rFont val="Tahoma"/>
            <family val="2"/>
          </rPr>
          <t>jmarks:</t>
        </r>
        <r>
          <rPr>
            <sz val="10"/>
            <color indexed="81"/>
            <rFont val="Tahoma"/>
            <family val="2"/>
          </rPr>
          <t xml:space="preserve">
Met the criteria for Two-Year 1 in 2009-10.</t>
        </r>
      </text>
    </comment>
    <comment ref="B66" authorId="0">
      <text>
        <r>
          <rPr>
            <sz val="10"/>
            <color indexed="81"/>
            <rFont val="Tahoma"/>
            <family val="2"/>
          </rPr>
          <t>Met the criteria for Two-Year 2 in 2008-09 and 2009-10.</t>
        </r>
      </text>
    </comment>
    <comment ref="B83" authorId="1">
      <text>
        <r>
          <rPr>
            <b/>
            <sz val="8"/>
            <color indexed="81"/>
            <rFont val="Tahoma"/>
            <family val="2"/>
          </rPr>
          <t>met the criteria for a SREB two-year 2 ("9") in 2007-08, 2008-09</t>
        </r>
      </text>
    </comment>
    <comment ref="B84" authorId="0">
      <text>
        <r>
          <rPr>
            <sz val="10"/>
            <color indexed="81"/>
            <rFont val="Tahoma"/>
            <family val="2"/>
          </rPr>
          <t>Reclassified: Met the criteria for Four-Year 1 in 2007-08, 2008-09 and 2009-10.</t>
        </r>
      </text>
    </comment>
    <comment ref="R84" authorId="3">
      <text>
        <r>
          <rPr>
            <b/>
            <sz val="9"/>
            <color indexed="81"/>
            <rFont val="Tahoma"/>
            <family val="2"/>
          </rPr>
          <t>Alicia A Diaz:</t>
        </r>
        <r>
          <rPr>
            <sz val="9"/>
            <color indexed="81"/>
            <rFont val="Tahoma"/>
            <family val="2"/>
          </rPr>
          <t xml:space="preserve">
new in 2009-10</t>
        </r>
      </text>
    </comment>
    <comment ref="T84" authorId="3">
      <text>
        <r>
          <rPr>
            <b/>
            <sz val="9"/>
            <color indexed="81"/>
            <rFont val="Tahoma"/>
            <family val="2"/>
          </rPr>
          <t>Alicia A Diaz:</t>
        </r>
        <r>
          <rPr>
            <sz val="9"/>
            <color indexed="81"/>
            <rFont val="Tahoma"/>
            <family val="2"/>
          </rPr>
          <t xml:space="preserve">
new in 2009-10</t>
        </r>
      </text>
    </comment>
    <comment ref="R86" authorId="3">
      <text>
        <r>
          <rPr>
            <b/>
            <sz val="9"/>
            <color indexed="81"/>
            <rFont val="Tahoma"/>
            <family val="2"/>
          </rPr>
          <t>Alicia A Diaz:</t>
        </r>
        <r>
          <rPr>
            <sz val="9"/>
            <color indexed="81"/>
            <rFont val="Tahoma"/>
            <family val="2"/>
          </rPr>
          <t xml:space="preserve">
new in 2009-10</t>
        </r>
      </text>
    </comment>
    <comment ref="T86" authorId="3">
      <text>
        <r>
          <rPr>
            <b/>
            <sz val="9"/>
            <color indexed="81"/>
            <rFont val="Tahoma"/>
            <family val="2"/>
          </rPr>
          <t>Alicia A Diaz:</t>
        </r>
        <r>
          <rPr>
            <sz val="9"/>
            <color indexed="81"/>
            <rFont val="Tahoma"/>
            <family val="2"/>
          </rPr>
          <t xml:space="preserve">
new in 2009-10</t>
        </r>
      </text>
    </comment>
    <comment ref="B96" authorId="1">
      <text>
        <r>
          <rPr>
            <sz val="10"/>
            <color indexed="81"/>
            <rFont val="Tahoma"/>
            <family val="2"/>
          </rPr>
          <t>Reclassified: Met the criteria for Two-Year with Bachelor's in 2007-08, 2008-09 and 2009-10.</t>
        </r>
      </text>
    </comment>
    <comment ref="B102" authorId="1">
      <text>
        <r>
          <rPr>
            <sz val="10"/>
            <color indexed="81"/>
            <rFont val="Tahoma"/>
            <family val="2"/>
          </rPr>
          <t>Met the criteria for Two-Year with Bachelor's in 2008-09 and 2009-10.</t>
        </r>
      </text>
    </comment>
    <comment ref="B105" authorId="1">
      <text>
        <r>
          <rPr>
            <sz val="10"/>
            <color indexed="81"/>
            <rFont val="Tahoma"/>
            <family val="2"/>
          </rPr>
          <t>Met the criteria for Two-Year with Bachelor's in 2009-10.</t>
        </r>
      </text>
    </comment>
    <comment ref="B109" authorId="1">
      <text>
        <r>
          <rPr>
            <sz val="10"/>
            <color indexed="81"/>
            <rFont val="Tahoma"/>
            <family val="2"/>
          </rPr>
          <t>Reclassified: Met the criteria for a Two-Year 1 in 2007-08, 2008-09 and 2009-10.</t>
        </r>
      </text>
    </comment>
    <comment ref="B112" authorId="2">
      <text>
        <r>
          <rPr>
            <b/>
            <sz val="10"/>
            <color indexed="81"/>
            <rFont val="Tahoma"/>
            <family val="2"/>
          </rPr>
          <t>jmarks:</t>
        </r>
        <r>
          <rPr>
            <sz val="10"/>
            <color indexed="81"/>
            <rFont val="Tahoma"/>
            <family val="2"/>
          </rPr>
          <t xml:space="preserve">
Formerly Manatee Community College</t>
        </r>
      </text>
    </comment>
    <comment ref="B115" authorId="1">
      <text>
        <r>
          <rPr>
            <sz val="10"/>
            <color indexed="81"/>
            <rFont val="Tahoma"/>
            <family val="2"/>
          </rPr>
          <t>Met the criteria for Two-Year 1 in 2008-09 and 2009-10.</t>
        </r>
      </text>
    </comment>
    <comment ref="B116" authorId="2">
      <text>
        <r>
          <rPr>
            <b/>
            <sz val="10"/>
            <color indexed="81"/>
            <rFont val="Tahoma"/>
            <family val="2"/>
          </rPr>
          <t>jmarks:</t>
        </r>
        <r>
          <rPr>
            <sz val="10"/>
            <color indexed="81"/>
            <rFont val="Tahoma"/>
            <family val="2"/>
          </rPr>
          <t xml:space="preserve">
Met the criteria for Two-Year 1 in 2009-10.</t>
        </r>
      </text>
    </comment>
    <comment ref="AM124" authorId="4">
      <text>
        <r>
          <rPr>
            <b/>
            <sz val="8"/>
            <color indexed="81"/>
            <rFont val="Tahoma"/>
            <family val="2"/>
          </rPr>
          <t>adiaz:</t>
        </r>
        <r>
          <rPr>
            <sz val="8"/>
            <color indexed="81"/>
            <rFont val="Tahoma"/>
            <family val="2"/>
          </rPr>
          <t xml:space="preserve">
http://www.usg.edu/fiscal_affairs/budget/tf/fy10/FY2010_Tuition_Graduate.pdf and added fees to match in-state</t>
        </r>
      </text>
    </comment>
    <comment ref="B139" authorId="2">
      <text>
        <r>
          <rPr>
            <b/>
            <sz val="10"/>
            <color indexed="81"/>
            <rFont val="Tahoma"/>
            <family val="2"/>
          </rPr>
          <t>jmarks:</t>
        </r>
        <r>
          <rPr>
            <sz val="10"/>
            <color indexed="81"/>
            <rFont val="Tahoma"/>
            <family val="2"/>
          </rPr>
          <t xml:space="preserve">
Met the criteria for Four-Year 5 in 2009-10.</t>
        </r>
      </text>
    </comment>
    <comment ref="B143" authorId="2">
      <text>
        <r>
          <rPr>
            <sz val="10"/>
            <color indexed="81"/>
            <rFont val="Tahoma"/>
            <family val="2"/>
          </rPr>
          <t>Met the criteria for Two-Year with Bachelor's in 2009-10.</t>
        </r>
      </text>
    </comment>
    <comment ref="B147" authorId="1">
      <text>
        <r>
          <rPr>
            <sz val="10"/>
            <color indexed="81"/>
            <rFont val="Tahoma"/>
            <family val="2"/>
          </rPr>
          <t>Met criteria for Two-Year with Bachelors in 2008-09 and 2009-10.</t>
        </r>
      </text>
    </comment>
    <comment ref="B149" authorId="2">
      <text>
        <r>
          <rPr>
            <sz val="10"/>
            <color indexed="81"/>
            <rFont val="Tahoma"/>
            <family val="2"/>
          </rPr>
          <t>Met the criteria for Two-Year with Bachelor's in 2009-10.</t>
        </r>
      </text>
    </comment>
    <comment ref="C150" authorId="1">
      <text>
        <r>
          <rPr>
            <b/>
            <sz val="8"/>
            <color indexed="81"/>
            <rFont val="Tahoma"/>
            <family val="2"/>
          </rPr>
          <t>Includes what used to be Georgia Aviation Technical College.</t>
        </r>
      </text>
    </comment>
    <comment ref="B151" authorId="2">
      <text>
        <r>
          <rPr>
            <b/>
            <sz val="10"/>
            <color indexed="81"/>
            <rFont val="Tahoma"/>
            <family val="2"/>
          </rPr>
          <t>jmarks:</t>
        </r>
        <r>
          <rPr>
            <sz val="10"/>
            <color indexed="81"/>
            <rFont val="Tahoma"/>
            <family val="2"/>
          </rPr>
          <t xml:space="preserve">
Met the criteria for Two-Year 2 in 2009-10.</t>
        </r>
      </text>
    </comment>
    <comment ref="B152" authorId="2">
      <text>
        <r>
          <rPr>
            <b/>
            <sz val="10"/>
            <color indexed="81"/>
            <rFont val="Tahoma"/>
            <family val="2"/>
          </rPr>
          <t>jmarks:</t>
        </r>
        <r>
          <rPr>
            <sz val="10"/>
            <color indexed="81"/>
            <rFont val="Tahoma"/>
            <family val="2"/>
          </rPr>
          <t xml:space="preserve">
Met the criteria for Two-Year 2 in 2009-10.</t>
        </r>
      </text>
    </comment>
    <comment ref="B155" authorId="2">
      <text>
        <r>
          <rPr>
            <b/>
            <sz val="10"/>
            <color indexed="81"/>
            <rFont val="Tahoma"/>
            <family val="2"/>
          </rPr>
          <t>jmarks:</t>
        </r>
        <r>
          <rPr>
            <sz val="10"/>
            <color indexed="81"/>
            <rFont val="Tahoma"/>
            <family val="2"/>
          </rPr>
          <t xml:space="preserve">
In start up phase.</t>
        </r>
      </text>
    </comment>
    <comment ref="B163" authorId="2">
      <text>
        <r>
          <rPr>
            <b/>
            <sz val="10"/>
            <color indexed="81"/>
            <rFont val="Tahoma"/>
            <family val="2"/>
          </rPr>
          <t>jmarks:</t>
        </r>
        <r>
          <rPr>
            <sz val="10"/>
            <color indexed="81"/>
            <rFont val="Tahoma"/>
            <family val="2"/>
          </rPr>
          <t xml:space="preserve">
Now includes former Appalachian Technical College and North Metro Technical College.</t>
        </r>
      </text>
    </comment>
    <comment ref="B167" authorId="2">
      <text>
        <r>
          <rPr>
            <b/>
            <sz val="10"/>
            <color indexed="81"/>
            <rFont val="Tahoma"/>
            <family val="2"/>
          </rPr>
          <t>jmarks:</t>
        </r>
        <r>
          <rPr>
            <sz val="10"/>
            <color indexed="81"/>
            <rFont val="Tahoma"/>
            <family val="2"/>
          </rPr>
          <t xml:space="preserve">
Is the merger of Coosa Valley Technical College and Northwestern Technical College.</t>
        </r>
      </text>
    </comment>
    <comment ref="B181" authorId="2">
      <text>
        <r>
          <rPr>
            <b/>
            <sz val="10"/>
            <color indexed="81"/>
            <rFont val="Tahoma"/>
            <family val="2"/>
          </rPr>
          <t>jmarks:</t>
        </r>
        <r>
          <rPr>
            <sz val="10"/>
            <color indexed="81"/>
            <rFont val="Tahoma"/>
            <family val="2"/>
          </rPr>
          <t xml:space="preserve">
Is the merger of West Georgia Technical College and West Central Technical College.</t>
        </r>
      </text>
    </comment>
    <comment ref="B182" authorId="1">
      <text>
        <r>
          <rPr>
            <b/>
            <sz val="8"/>
            <color indexed="81"/>
            <rFont val="Tahoma"/>
            <family val="2"/>
          </rPr>
          <t>met criteria for tech institute 1 ("12") in 2008-09</t>
        </r>
      </text>
    </comment>
    <comment ref="B183" authorId="1">
      <text>
        <r>
          <rPr>
            <b/>
            <sz val="8"/>
            <color indexed="81"/>
            <rFont val="Tahoma"/>
            <family val="2"/>
          </rPr>
          <t>met criteria for tech institute 1 ("12") in 2008-09</t>
        </r>
      </text>
    </comment>
    <comment ref="B185" authorId="1">
      <text>
        <r>
          <rPr>
            <sz val="10"/>
            <color indexed="81"/>
            <rFont val="Tahoma"/>
            <family val="2"/>
          </rPr>
          <t>Reclassified: Now includes former Swainsboro Technical College and meets the criteria for a Technical Institute or College 1.</t>
        </r>
      </text>
    </comment>
    <comment ref="B191" authorId="0">
      <text>
        <r>
          <rPr>
            <sz val="10"/>
            <color indexed="81"/>
            <rFont val="Tahoma"/>
            <family val="2"/>
          </rPr>
          <t>Met the criteria for Four-Year 3 in 2008-09 and 2009-10.</t>
        </r>
      </text>
    </comment>
    <comment ref="B193" authorId="0">
      <text>
        <r>
          <rPr>
            <sz val="10"/>
            <color indexed="81"/>
            <rFont val="Tahoma"/>
            <family val="2"/>
          </rPr>
          <t>Met the criteria for Four-Year 4 in 2008-09 and 2009-10.</t>
        </r>
      </text>
    </comment>
    <comment ref="B207" authorId="2">
      <text>
        <r>
          <rPr>
            <b/>
            <sz val="10"/>
            <color indexed="81"/>
            <rFont val="Tahoma"/>
            <family val="2"/>
          </rPr>
          <t>jmarks:</t>
        </r>
        <r>
          <rPr>
            <sz val="10"/>
            <color indexed="81"/>
            <rFont val="Tahoma"/>
            <family val="2"/>
          </rPr>
          <t xml:space="preserve">
Met the criteria for Two-Year 2 in 2009-10.</t>
        </r>
      </text>
    </comment>
    <comment ref="B222" authorId="0">
      <text>
        <r>
          <rPr>
            <sz val="10"/>
            <color indexed="81"/>
            <rFont val="Tahoma"/>
            <family val="2"/>
          </rPr>
          <t>Reclassified: Met the criteria for Four-year 4 in 2007-08, 2008-09 and 2009-10.</t>
        </r>
      </text>
    </comment>
    <comment ref="B223" authorId="2">
      <text>
        <r>
          <rPr>
            <b/>
            <sz val="10"/>
            <color indexed="81"/>
            <rFont val="Tahoma"/>
            <family val="2"/>
          </rPr>
          <t>jmarks:</t>
        </r>
        <r>
          <rPr>
            <sz val="10"/>
            <color indexed="81"/>
            <rFont val="Tahoma"/>
            <family val="2"/>
          </rPr>
          <t xml:space="preserve">
Met the criteria for Four-Year 6 in 2009-10.</t>
        </r>
      </text>
    </comment>
    <comment ref="B225" authorId="1">
      <text>
        <r>
          <rPr>
            <sz val="10"/>
            <color indexed="81"/>
            <rFont val="Tahoma"/>
            <family val="2"/>
          </rPr>
          <t>Met criteria for Two-Year 1 in 2008-09 and 2009-10.</t>
        </r>
      </text>
    </comment>
    <comment ref="B231" authorId="1">
      <text>
        <r>
          <rPr>
            <sz val="10"/>
            <color indexed="81"/>
            <rFont val="Tahoma"/>
            <family val="2"/>
          </rPr>
          <t>Met criteria for Two-Year 2 in 2008-09 and 2009-10.</t>
        </r>
      </text>
    </comment>
    <comment ref="B232" authorId="1">
      <text>
        <r>
          <rPr>
            <sz val="10"/>
            <color indexed="81"/>
            <rFont val="Tahoma"/>
            <family val="2"/>
          </rPr>
          <t>Met criteria for Two-Year 2 in 2009-10.</t>
        </r>
      </text>
    </comment>
    <comment ref="B234" authorId="2">
      <text>
        <r>
          <rPr>
            <b/>
            <sz val="10"/>
            <color indexed="81"/>
            <rFont val="Tahoma"/>
            <family val="2"/>
          </rPr>
          <t>jmarks:</t>
        </r>
        <r>
          <rPr>
            <sz val="10"/>
            <color indexed="81"/>
            <rFont val="Tahoma"/>
            <family val="2"/>
          </rPr>
          <t xml:space="preserve">
Met the criteria for Technical Institute or College 1 in 2009-10.</t>
        </r>
      </text>
    </comment>
    <comment ref="B279" authorId="2">
      <text>
        <r>
          <rPr>
            <b/>
            <sz val="10"/>
            <color indexed="81"/>
            <rFont val="Tahoma"/>
            <family val="2"/>
          </rPr>
          <t>jmarks:</t>
        </r>
        <r>
          <rPr>
            <sz val="10"/>
            <color indexed="81"/>
            <rFont val="Tahoma"/>
            <family val="2"/>
          </rPr>
          <t xml:space="preserve">
Met the criteria for  Four-Year 2 in 2009-10.</t>
        </r>
      </text>
    </comment>
    <comment ref="B294" authorId="2">
      <text>
        <r>
          <rPr>
            <b/>
            <sz val="10"/>
            <color indexed="81"/>
            <rFont val="Tahoma"/>
            <family val="2"/>
          </rPr>
          <t>jmarks:</t>
        </r>
        <r>
          <rPr>
            <sz val="10"/>
            <color indexed="81"/>
            <rFont val="Tahoma"/>
            <family val="2"/>
          </rPr>
          <t xml:space="preserve">
Met the criteria for Two-Year 1 in 2009-10.
</t>
        </r>
      </text>
    </comment>
    <comment ref="B298" authorId="2">
      <text>
        <r>
          <rPr>
            <b/>
            <sz val="10"/>
            <color indexed="81"/>
            <rFont val="Tahoma"/>
            <family val="2"/>
          </rPr>
          <t>jmarks:</t>
        </r>
        <r>
          <rPr>
            <sz val="10"/>
            <color indexed="81"/>
            <rFont val="Tahoma"/>
            <family val="2"/>
          </rPr>
          <t xml:space="preserve">
Met the criteria for Two-Year 1 in 2009-10.
</t>
        </r>
      </text>
    </comment>
    <comment ref="B299" authorId="0">
      <text>
        <r>
          <rPr>
            <sz val="10"/>
            <color indexed="81"/>
            <rFont val="Tahoma"/>
            <family val="2"/>
          </rPr>
          <t xml:space="preserve">Met the criteria for Two-Year 2 in 2008-09 and 2009-10.
</t>
        </r>
      </text>
    </comment>
    <comment ref="B303" authorId="0">
      <text>
        <r>
          <rPr>
            <sz val="10"/>
            <color indexed="81"/>
            <rFont val="Tahoma"/>
            <family val="2"/>
          </rPr>
          <t xml:space="preserve">Met the criteria for Two-Year 2 in 2008-09 and 2009-10.
</t>
        </r>
      </text>
    </comment>
    <comment ref="B312" authorId="0">
      <text>
        <r>
          <rPr>
            <sz val="10"/>
            <color indexed="81"/>
            <rFont val="Tahoma"/>
            <family val="2"/>
          </rPr>
          <t>Reclassified: Met the criteria for Four-Year 4 in 2007-08, 2008-09 and 2009-10.</t>
        </r>
      </text>
    </comment>
    <comment ref="B315" authorId="5">
      <text>
        <r>
          <rPr>
            <sz val="8"/>
            <color indexed="8"/>
            <rFont val="Tahoma"/>
            <family val="2"/>
          </rPr>
          <t>includes Raymond campus (175786), Jackson campus (175777), Rankin campus (175795) and Vicksburg-Warren county (175801)</t>
        </r>
      </text>
    </comment>
    <comment ref="B318" authorId="5">
      <text>
        <r>
          <rPr>
            <sz val="8"/>
            <color indexed="8"/>
            <rFont val="Tahoma"/>
            <family val="2"/>
          </rPr>
          <t>includes Natchez campus (175564)</t>
        </r>
      </text>
    </comment>
    <comment ref="B322" authorId="1">
      <text>
        <r>
          <rPr>
            <b/>
            <sz val="8"/>
            <color indexed="81"/>
            <rFont val="Tahoma"/>
            <family val="2"/>
          </rPr>
          <t>met criteria as a SREB two-year 1 ("8") institution in 2008-09</t>
        </r>
      </text>
    </comment>
    <comment ref="B327" authorId="5">
      <text>
        <r>
          <rPr>
            <sz val="8"/>
            <color indexed="8"/>
            <rFont val="Tahoma"/>
            <family val="2"/>
          </rPr>
          <t>includes Forrest county center (408127)</t>
        </r>
      </text>
    </comment>
    <comment ref="B333" authorId="2">
      <text>
        <r>
          <rPr>
            <b/>
            <sz val="10"/>
            <color indexed="81"/>
            <rFont val="Tahoma"/>
            <family val="2"/>
          </rPr>
          <t>jmarks:</t>
        </r>
        <r>
          <rPr>
            <sz val="10"/>
            <color indexed="81"/>
            <rFont val="Tahoma"/>
            <family val="2"/>
          </rPr>
          <t xml:space="preserve">
Met the criteria for Four-Year 1 in 2009-10.</t>
        </r>
      </text>
    </comment>
    <comment ref="T335" authorId="6">
      <text>
        <r>
          <rPr>
            <b/>
            <sz val="8"/>
            <color indexed="81"/>
            <rFont val="Tahoma"/>
            <family val="2"/>
          </rPr>
          <t>heltonbl:</t>
        </r>
        <r>
          <rPr>
            <sz val="8"/>
            <color indexed="81"/>
            <rFont val="Tahoma"/>
            <family val="2"/>
          </rPr>
          <t xml:space="preserve">
New campus policy of no out-of-state admissions to school of medicine</t>
        </r>
      </text>
    </comment>
    <comment ref="E346" authorId="4">
      <text>
        <r>
          <rPr>
            <b/>
            <sz val="8"/>
            <color indexed="81"/>
            <rFont val="Tahoma"/>
            <family val="2"/>
          </rPr>
          <t>Tuition:  Large increase mandated by legislature</t>
        </r>
      </text>
    </comment>
    <comment ref="B358" authorId="2">
      <text>
        <r>
          <rPr>
            <b/>
            <sz val="10"/>
            <color indexed="81"/>
            <rFont val="Tahoma"/>
            <family val="2"/>
          </rPr>
          <t>jmarks:</t>
        </r>
        <r>
          <rPr>
            <sz val="10"/>
            <color indexed="81"/>
            <rFont val="Tahoma"/>
            <family val="2"/>
          </rPr>
          <t xml:space="preserve">
Met the criteria for Two-Year 1 in 2009-10.</t>
        </r>
      </text>
    </comment>
    <comment ref="B360" authorId="2">
      <text>
        <r>
          <rPr>
            <b/>
            <sz val="10"/>
            <color indexed="81"/>
            <rFont val="Tahoma"/>
            <family val="2"/>
          </rPr>
          <t>jmarks:</t>
        </r>
        <r>
          <rPr>
            <sz val="10"/>
            <color indexed="81"/>
            <rFont val="Tahoma"/>
            <family val="2"/>
          </rPr>
          <t xml:space="preserve">
Met the criteria for Two-Year 1 in 2009-10.</t>
        </r>
      </text>
    </comment>
    <comment ref="B362" authorId="1">
      <text>
        <r>
          <rPr>
            <sz val="10"/>
            <color indexed="81"/>
            <rFont val="Tahoma"/>
            <family val="2"/>
          </rPr>
          <t>Met the criteria for SREB 2 Year 1 in 2008-09 and 2009-10.</t>
        </r>
      </text>
    </comment>
    <comment ref="B367" authorId="1">
      <text>
        <r>
          <rPr>
            <sz val="10"/>
            <color indexed="81"/>
            <rFont val="Tahoma"/>
            <family val="2"/>
          </rPr>
          <t>Met the criteria for SREB 2 Year 1 in 2008-09 and 2009-10.</t>
        </r>
      </text>
    </comment>
    <comment ref="B391" authorId="2">
      <text>
        <r>
          <rPr>
            <sz val="10"/>
            <color indexed="81"/>
            <rFont val="Tahoma"/>
            <family val="2"/>
          </rPr>
          <t>Met the criteria for Two-Year 2 in 2009-10.</t>
        </r>
      </text>
    </comment>
    <comment ref="B394" authorId="2">
      <text>
        <r>
          <rPr>
            <sz val="10"/>
            <color indexed="81"/>
            <rFont val="Tahoma"/>
            <family val="2"/>
          </rPr>
          <t>Met the criteria for Two-Year 2 in 2009-10.</t>
        </r>
      </text>
    </comment>
    <comment ref="B402" authorId="2">
      <text>
        <r>
          <rPr>
            <sz val="10"/>
            <color indexed="81"/>
            <rFont val="Tahoma"/>
            <family val="2"/>
          </rPr>
          <t>Met the criteria for Two-Year 2 in 2009-10.</t>
        </r>
      </text>
    </comment>
    <comment ref="B422" authorId="2">
      <text>
        <r>
          <rPr>
            <sz val="10"/>
            <color indexed="81"/>
            <rFont val="Tahoma"/>
            <family val="2"/>
          </rPr>
          <t>Met the criteria for Two-Year 1 institution in 2009-10.</t>
        </r>
      </text>
    </comment>
    <comment ref="B431" authorId="1">
      <text>
        <r>
          <rPr>
            <sz val="10"/>
            <color indexed="81"/>
            <rFont val="Tahoma"/>
            <family val="2"/>
          </rPr>
          <t>Reclassified: Met criteria for Technical Institute or College 1 in 2007-08, 2008-09 and 2009-10.</t>
        </r>
      </text>
    </comment>
    <comment ref="B433" authorId="2">
      <text>
        <r>
          <rPr>
            <b/>
            <sz val="10"/>
            <color indexed="81"/>
            <rFont val="Tahoma"/>
            <family val="2"/>
          </rPr>
          <t>jmarks:</t>
        </r>
        <r>
          <rPr>
            <sz val="10"/>
            <color indexed="81"/>
            <rFont val="Tahoma"/>
            <family val="2"/>
          </rPr>
          <t xml:space="preserve">
Met criteria for Technical Institute or College 2 in 2009-10.</t>
        </r>
      </text>
    </comment>
    <comment ref="B435" authorId="2">
      <text>
        <r>
          <rPr>
            <b/>
            <sz val="10"/>
            <color indexed="81"/>
            <rFont val="Tahoma"/>
            <family val="2"/>
          </rPr>
          <t>jmarks:</t>
        </r>
        <r>
          <rPr>
            <sz val="10"/>
            <color indexed="81"/>
            <rFont val="Tahoma"/>
            <family val="2"/>
          </rPr>
          <t xml:space="preserve">
Met criteria for Technical Institute or College 2 in 2009-10.</t>
        </r>
      </text>
    </comment>
    <comment ref="B460" authorId="1">
      <text>
        <r>
          <rPr>
            <sz val="10"/>
            <color indexed="81"/>
            <rFont val="Tahoma"/>
            <family val="2"/>
          </rPr>
          <t>Reclassified: Met criteria for Technical Institute or College 2 in 2007-08, 2008-09 and 2009-10.</t>
        </r>
      </text>
    </comment>
    <comment ref="B477" authorId="2">
      <text>
        <r>
          <rPr>
            <b/>
            <sz val="10"/>
            <color indexed="81"/>
            <rFont val="Tahoma"/>
            <family val="2"/>
          </rPr>
          <t>jmarks:</t>
        </r>
        <r>
          <rPr>
            <sz val="10"/>
            <color indexed="81"/>
            <rFont val="Tahoma"/>
            <family val="2"/>
          </rPr>
          <t xml:space="preserve">
New institution.</t>
        </r>
      </text>
    </comment>
    <comment ref="B486" authorId="0">
      <text>
        <r>
          <rPr>
            <sz val="10"/>
            <color indexed="81"/>
            <rFont val="Tahoma"/>
            <family val="2"/>
          </rPr>
          <t>Reclassified: Met the criteria for Four-Year 6 in 2007-08, 2008-09 and 2009-10.</t>
        </r>
      </text>
    </comment>
    <comment ref="B489" authorId="0">
      <text>
        <r>
          <rPr>
            <sz val="10"/>
            <color indexed="81"/>
            <rFont val="Tahoma"/>
            <family val="2"/>
          </rPr>
          <t>Met the criteria for Four-Year 6 in 2007-08 and 2008-09</t>
        </r>
      </text>
    </comment>
    <comment ref="B511" authorId="1">
      <text>
        <r>
          <rPr>
            <sz val="10"/>
            <color indexed="81"/>
            <rFont val="Tahoma"/>
            <family val="2"/>
          </rPr>
          <t xml:space="preserve">Reclassified: Met the criteria for Four-Year 1 in 2007-08, 2008-09 and 2009-10.
</t>
        </r>
      </text>
    </comment>
    <comment ref="B515" authorId="2">
      <text>
        <r>
          <rPr>
            <b/>
            <sz val="10"/>
            <color indexed="81"/>
            <rFont val="Tahoma"/>
            <family val="2"/>
          </rPr>
          <t>jmarks:</t>
        </r>
        <r>
          <rPr>
            <sz val="10"/>
            <color indexed="81"/>
            <rFont val="Tahoma"/>
            <family val="2"/>
          </rPr>
          <t xml:space="preserve">
Met the criteria for Four-Year 2 in 2009-10.
</t>
        </r>
      </text>
    </comment>
    <comment ref="B516" authorId="1">
      <text>
        <r>
          <rPr>
            <sz val="10"/>
            <color indexed="81"/>
            <rFont val="Tahoma"/>
            <family val="2"/>
          </rPr>
          <t xml:space="preserve">Reclassified: Met the criteria for Four-Year 3 in 2007-08, 2008-09 and 2009-10.
</t>
        </r>
      </text>
    </comment>
    <comment ref="B518" authorId="1">
      <text>
        <r>
          <rPr>
            <sz val="10"/>
            <color indexed="81"/>
            <rFont val="Tahoma"/>
            <family val="2"/>
          </rPr>
          <t xml:space="preserve">Met the criteria for Four-Year 3 in 2008-09 and 2009-10.
</t>
        </r>
      </text>
    </comment>
    <comment ref="B527" authorId="2">
      <text>
        <r>
          <rPr>
            <b/>
            <sz val="10"/>
            <color indexed="81"/>
            <rFont val="Tahoma"/>
            <family val="2"/>
          </rPr>
          <t>jmarks:</t>
        </r>
        <r>
          <rPr>
            <sz val="10"/>
            <color indexed="81"/>
            <rFont val="Tahoma"/>
            <family val="2"/>
          </rPr>
          <t xml:space="preserve">
Met the criteria for Two-year 1 in 2009-10.</t>
        </r>
      </text>
    </comment>
    <comment ref="B530" authorId="2">
      <text>
        <r>
          <rPr>
            <b/>
            <sz val="10"/>
            <color indexed="81"/>
            <rFont val="Tahoma"/>
            <family val="2"/>
          </rPr>
          <t>jmarks:</t>
        </r>
        <r>
          <rPr>
            <sz val="10"/>
            <color indexed="81"/>
            <rFont val="Tahoma"/>
            <family val="2"/>
          </rPr>
          <t xml:space="preserve">
Met the criteria for Two-Year 1 in 2009-10.</t>
        </r>
      </text>
    </comment>
    <comment ref="B532" authorId="2">
      <text>
        <r>
          <rPr>
            <b/>
            <sz val="10"/>
            <color indexed="81"/>
            <rFont val="Tahoma"/>
            <family val="2"/>
          </rPr>
          <t>jmarks:</t>
        </r>
        <r>
          <rPr>
            <sz val="10"/>
            <color indexed="81"/>
            <rFont val="Tahoma"/>
            <family val="2"/>
          </rPr>
          <t xml:space="preserve">
Met the criteria for Two-Year 2 in 2009-10.</t>
        </r>
      </text>
    </comment>
    <comment ref="B569" authorId="1">
      <text>
        <r>
          <rPr>
            <b/>
            <sz val="8"/>
            <color indexed="81"/>
            <rFont val="Tahoma"/>
            <family val="2"/>
          </rPr>
          <t>Reclassfied: met the criteria for a SREB Four-Year 2 institution in 2006-07, 2007-08 and 2008-09.</t>
        </r>
      </text>
    </comment>
    <comment ref="B570" authorId="1">
      <text>
        <r>
          <rPr>
            <sz val="10"/>
            <color indexed="81"/>
            <rFont val="Tahoma"/>
            <family val="2"/>
          </rPr>
          <t>Reclassified: Met the criteria for Four-Year 2 in 2007-08, 2008-09 and 2009-10.</t>
        </r>
      </text>
    </comment>
    <comment ref="B582" authorId="1">
      <text>
        <r>
          <rPr>
            <sz val="10"/>
            <color indexed="81"/>
            <rFont val="Tahoma"/>
            <family val="2"/>
          </rPr>
          <t xml:space="preserve">Reclassified: Met the criteria for Four-Year 3 in 2007-08, 2008-09 and 2009-10.
</t>
        </r>
      </text>
    </comment>
    <comment ref="B590" authorId="1">
      <text>
        <r>
          <rPr>
            <sz val="10"/>
            <color indexed="81"/>
            <rFont val="Tahoma"/>
            <family val="2"/>
          </rPr>
          <t xml:space="preserve">Reclassified: Met the criteria for Four-Year 4 in 2007-08, 2008-09 and 2009-10.
</t>
        </r>
      </text>
    </comment>
    <comment ref="B591" authorId="1">
      <text>
        <r>
          <rPr>
            <sz val="10"/>
            <color indexed="81"/>
            <rFont val="Tahoma"/>
            <family val="2"/>
          </rPr>
          <t xml:space="preserve">Met the criteria for a Four-Year 3 in 2008-09 and 2009-10.
</t>
        </r>
      </text>
    </comment>
    <comment ref="B592" authorId="2">
      <text>
        <r>
          <rPr>
            <b/>
            <sz val="10"/>
            <color indexed="81"/>
            <rFont val="Tahoma"/>
            <family val="2"/>
          </rPr>
          <t>jmarks:</t>
        </r>
        <r>
          <rPr>
            <sz val="10"/>
            <color indexed="81"/>
            <rFont val="Tahoma"/>
            <family val="2"/>
          </rPr>
          <t xml:space="preserve">
Met the criteria for Four-Year 3 in 2009-10.</t>
        </r>
      </text>
    </comment>
    <comment ref="B596" authorId="0">
      <text>
        <r>
          <rPr>
            <sz val="10"/>
            <color indexed="81"/>
            <rFont val="Tahoma"/>
            <family val="2"/>
          </rPr>
          <t>Reclassified: Met criteria for Two-Year with Bachelor's in 2007-08, 2008-09 and 2009-10.</t>
        </r>
      </text>
    </comment>
    <comment ref="B597" authorId="0">
      <text>
        <r>
          <rPr>
            <sz val="10"/>
            <color indexed="81"/>
            <rFont val="Tahoma"/>
            <family val="2"/>
          </rPr>
          <t>Reclassified: Met criteria for Two-Year with Bachelor's in 2007-08, 2008-09 and 2009-10.</t>
        </r>
      </text>
    </comment>
    <comment ref="B598" authorId="0">
      <text>
        <r>
          <rPr>
            <sz val="10"/>
            <color indexed="81"/>
            <rFont val="Tahoma"/>
            <family val="2"/>
          </rPr>
          <t>Reclassified: Met criteria for Two-Year with Bachelor's in 2007-08, 2008-09 and 2009-10.</t>
        </r>
      </text>
    </comment>
    <comment ref="B610" authorId="3">
      <text>
        <r>
          <rPr>
            <b/>
            <sz val="10"/>
            <color indexed="81"/>
            <rFont val="Tahoma"/>
            <family val="2"/>
          </rPr>
          <t>Alicia A Diaz:</t>
        </r>
        <r>
          <rPr>
            <sz val="10"/>
            <color indexed="81"/>
            <rFont val="Tahoma"/>
            <family val="2"/>
          </rPr>
          <t xml:space="preserve">
Formerly North Harris Montgomery Community College District.</t>
        </r>
      </text>
    </comment>
    <comment ref="B630" authorId="0">
      <text>
        <r>
          <rPr>
            <sz val="10"/>
            <color indexed="81"/>
            <rFont val="Tahoma"/>
            <family val="2"/>
          </rPr>
          <t>Met criteria for Two-Year 1 in 2008-09 and 2009-10.</t>
        </r>
      </text>
    </comment>
    <comment ref="B634" authorId="0">
      <text>
        <r>
          <rPr>
            <sz val="10"/>
            <color indexed="81"/>
            <rFont val="Tahoma"/>
            <family val="2"/>
          </rPr>
          <t>Met criteria for Two-Year 1 in 2009-10.</t>
        </r>
      </text>
    </comment>
    <comment ref="B638" authorId="0">
      <text>
        <r>
          <rPr>
            <sz val="10"/>
            <color indexed="81"/>
            <rFont val="Tahoma"/>
            <family val="2"/>
          </rPr>
          <t>Met criteria for Two-Year 1 in 2008-09 and 2009-10.</t>
        </r>
      </text>
    </comment>
    <comment ref="B645" authorId="0">
      <text>
        <r>
          <rPr>
            <sz val="10"/>
            <color indexed="81"/>
            <rFont val="Tahoma"/>
            <family val="2"/>
          </rPr>
          <t>Met criteria for Two-Year 1 in 2009-10.</t>
        </r>
      </text>
    </comment>
    <comment ref="B646" authorId="0">
      <text>
        <r>
          <rPr>
            <sz val="10"/>
            <color indexed="81"/>
            <rFont val="Tahoma"/>
            <family val="2"/>
          </rPr>
          <t>Met criteria for Two-Year 1 in 2009-10.</t>
        </r>
      </text>
    </comment>
    <comment ref="C656" authorId="1">
      <text>
        <r>
          <rPr>
            <b/>
            <sz val="8"/>
            <color indexed="81"/>
            <rFont val="Tahoma"/>
            <family val="2"/>
          </rPr>
          <t>Alicia A. Diaz:</t>
        </r>
        <r>
          <rPr>
            <sz val="8"/>
            <color indexed="81"/>
            <rFont val="Tahoma"/>
            <family val="2"/>
          </rPr>
          <t xml:space="preserve">
Not assigned until SACS accreditation</t>
        </r>
      </text>
    </comment>
    <comment ref="B657" authorId="0">
      <text>
        <r>
          <rPr>
            <sz val="10"/>
            <color indexed="81"/>
            <rFont val="Tahoma"/>
            <family val="2"/>
          </rPr>
          <t>Met criteria for Two-Year 2 in 2009-10.</t>
        </r>
      </text>
    </comment>
    <comment ref="B664" authorId="7">
      <text>
        <r>
          <rPr>
            <b/>
            <sz val="8"/>
            <color indexed="81"/>
            <rFont val="Tahoma"/>
            <family val="2"/>
          </rPr>
          <t>mperry:</t>
        </r>
        <r>
          <rPr>
            <sz val="8"/>
            <color indexed="81"/>
            <rFont val="Tahoma"/>
            <family val="2"/>
          </rPr>
          <t xml:space="preserve">
Deleted "University System" b/4 "Health" to match IPEDS 11/23/10</t>
        </r>
      </text>
    </comment>
    <comment ref="B665" authorId="2">
      <text>
        <r>
          <rPr>
            <b/>
            <sz val="10"/>
            <color indexed="81"/>
            <rFont val="Tahoma"/>
            <family val="2"/>
          </rPr>
          <t>jmarks:</t>
        </r>
        <r>
          <rPr>
            <sz val="10"/>
            <color indexed="81"/>
            <rFont val="Tahoma"/>
            <family val="2"/>
          </rPr>
          <t xml:space="preserve">
New fall 2009.</t>
        </r>
      </text>
    </comment>
    <comment ref="B666" authorId="2">
      <text>
        <r>
          <rPr>
            <b/>
            <sz val="10"/>
            <color indexed="81"/>
            <rFont val="Tahoma"/>
            <family val="2"/>
          </rPr>
          <t>jmarks:</t>
        </r>
        <r>
          <rPr>
            <sz val="10"/>
            <color indexed="81"/>
            <rFont val="Tahoma"/>
            <family val="2"/>
          </rPr>
          <t xml:space="preserve">
New fall 2009.</t>
        </r>
      </text>
    </comment>
    <comment ref="B668" authorId="2">
      <text>
        <r>
          <rPr>
            <b/>
            <sz val="10"/>
            <color indexed="81"/>
            <rFont val="Tahoma"/>
            <family val="2"/>
          </rPr>
          <t>jmarks:</t>
        </r>
        <r>
          <rPr>
            <sz val="10"/>
            <color indexed="81"/>
            <rFont val="Tahoma"/>
            <family val="2"/>
          </rPr>
          <t xml:space="preserve">
New fall 2009.</t>
        </r>
      </text>
    </comment>
    <comment ref="B676" authorId="0">
      <text>
        <r>
          <rPr>
            <sz val="8"/>
            <color indexed="81"/>
            <rFont val="Tahoma"/>
            <family val="2"/>
          </rPr>
          <t>Reclassified, met criteria for classification as a SREB Four-Year 1 in 2007-08, 2008-09 and 2009-10.</t>
        </r>
      </text>
    </comment>
    <comment ref="B680" authorId="2">
      <text>
        <r>
          <rPr>
            <b/>
            <sz val="10"/>
            <color indexed="81"/>
            <rFont val="Tahoma"/>
            <family val="2"/>
          </rPr>
          <t>jmarks:</t>
        </r>
        <r>
          <rPr>
            <sz val="10"/>
            <color indexed="81"/>
            <rFont val="Tahoma"/>
            <family val="2"/>
          </rPr>
          <t xml:space="preserve">
Met criteria for classification as a SREB Four-Year 1 in 2009-10.</t>
        </r>
      </text>
    </comment>
    <comment ref="B682" authorId="0">
      <text>
        <r>
          <rPr>
            <sz val="8"/>
            <color indexed="81"/>
            <rFont val="Tahoma"/>
            <family val="2"/>
          </rPr>
          <t>Reclassified, met criteria for classification as a SREB Four-Year 3 in 2007-08, 2008-09 and 2009-10.</t>
        </r>
      </text>
    </comment>
    <comment ref="B683" authorId="0">
      <text>
        <r>
          <rPr>
            <b/>
            <sz val="8"/>
            <color indexed="81"/>
            <rFont val="Tahoma"/>
            <family val="2"/>
          </rPr>
          <t>Reclassified, met criteria for classification as a SREB Four-Year 4 in 2007-08, 2008-09 and 2009-10.</t>
        </r>
      </text>
    </comment>
    <comment ref="B685" authorId="0">
      <text>
        <r>
          <rPr>
            <b/>
            <sz val="8"/>
            <color indexed="81"/>
            <rFont val="Tahoma"/>
            <family val="2"/>
          </rPr>
          <t>Reclassified, met criteria for classification as a SREB Four-Year 5 in 2007-08, 2008-09 and 2009-10.</t>
        </r>
      </text>
    </comment>
    <comment ref="B686" authorId="0">
      <text>
        <r>
          <rPr>
            <b/>
            <sz val="8"/>
            <color indexed="81"/>
            <rFont val="Tahoma"/>
            <family val="2"/>
          </rPr>
          <t>Met criteria for classification as a SREB Four-Year 4 in 2008-09 and 2009-10.</t>
        </r>
      </text>
    </comment>
    <comment ref="B704" authorId="2">
      <text>
        <r>
          <rPr>
            <b/>
            <sz val="10"/>
            <color indexed="81"/>
            <rFont val="Tahoma"/>
            <family val="2"/>
          </rPr>
          <t>jmarks:</t>
        </r>
        <r>
          <rPr>
            <sz val="10"/>
            <color indexed="81"/>
            <rFont val="Tahoma"/>
            <family val="2"/>
          </rPr>
          <t xml:space="preserve">
Met the criteria for Two-Year 2 in 2009-10.</t>
        </r>
      </text>
    </comment>
    <comment ref="B707" authorId="2">
      <text>
        <r>
          <rPr>
            <b/>
            <sz val="10"/>
            <color indexed="81"/>
            <rFont val="Tahoma"/>
            <family val="2"/>
          </rPr>
          <t>jmarks:</t>
        </r>
        <r>
          <rPr>
            <sz val="10"/>
            <color indexed="81"/>
            <rFont val="Tahoma"/>
            <family val="2"/>
          </rPr>
          <t xml:space="preserve">
Met the criteria for Two-Year 2 in 2009-10.</t>
        </r>
      </text>
    </comment>
    <comment ref="B712" authorId="2">
      <text>
        <r>
          <rPr>
            <b/>
            <sz val="10"/>
            <color indexed="81"/>
            <rFont val="Tahoma"/>
            <family val="2"/>
          </rPr>
          <t>jmarks:</t>
        </r>
        <r>
          <rPr>
            <sz val="10"/>
            <color indexed="81"/>
            <rFont val="Tahoma"/>
            <family val="2"/>
          </rPr>
          <t xml:space="preserve">
Met the criteria for Two-Year 2 in 2009-10.</t>
        </r>
      </text>
    </comment>
    <comment ref="E715" authorId="8">
      <text>
        <r>
          <rPr>
            <b/>
            <sz val="10"/>
            <color indexed="81"/>
            <rFont val="Tahoma"/>
            <family val="2"/>
          </rPr>
          <t>WVHEPC:</t>
        </r>
        <r>
          <rPr>
            <sz val="10"/>
            <color indexed="81"/>
            <rFont val="Tahoma"/>
            <family val="2"/>
          </rPr>
          <t xml:space="preserve">
Reflects assessment fitness center fee.
</t>
        </r>
      </text>
    </comment>
    <comment ref="I715" authorId="8">
      <text>
        <r>
          <rPr>
            <b/>
            <sz val="10"/>
            <color indexed="81"/>
            <rFont val="Tahoma"/>
            <family val="2"/>
          </rPr>
          <t>WVHEPC:</t>
        </r>
        <r>
          <rPr>
            <sz val="10"/>
            <color indexed="81"/>
            <rFont val="Tahoma"/>
            <family val="2"/>
          </rPr>
          <t xml:space="preserve">
Amount adjusted to include fitness center fee applied upon completion of center
</t>
        </r>
      </text>
    </comment>
    <comment ref="B716" authorId="0">
      <text>
        <r>
          <rPr>
            <sz val="10"/>
            <color indexed="81"/>
            <rFont val="Tahoma"/>
            <family val="2"/>
          </rPr>
          <t>Reclassified: Met the criteria for Four-Year 5 in 2007-08, 2008-09 and 2009-10</t>
        </r>
      </text>
    </comment>
    <comment ref="B720" authorId="0">
      <text>
        <r>
          <rPr>
            <sz val="10"/>
            <color indexed="81"/>
            <rFont val="Tahoma"/>
            <family val="2"/>
          </rPr>
          <t>Met the criteria for Four-Year 5 in 2008-09 and 2009-10.</t>
        </r>
      </text>
    </comment>
    <comment ref="J721" authorId="8">
      <text>
        <r>
          <rPr>
            <b/>
            <sz val="10"/>
            <color indexed="81"/>
            <rFont val="Tahoma"/>
            <family val="2"/>
          </rPr>
          <t>WVHEPC:</t>
        </r>
        <r>
          <rPr>
            <sz val="10"/>
            <color indexed="81"/>
            <rFont val="Tahoma"/>
            <family val="2"/>
          </rPr>
          <t xml:space="preserve">
New </t>
        </r>
      </text>
    </comment>
    <comment ref="L721" authorId="8">
      <text>
        <r>
          <rPr>
            <b/>
            <sz val="10"/>
            <color indexed="81"/>
            <rFont val="Tahoma"/>
            <family val="2"/>
          </rPr>
          <t>WVHEPC:</t>
        </r>
        <r>
          <rPr>
            <sz val="10"/>
            <color indexed="81"/>
            <rFont val="Tahoma"/>
            <family val="2"/>
          </rPr>
          <t xml:space="preserve">
New
</t>
        </r>
      </text>
    </comment>
    <comment ref="J723" authorId="8">
      <text>
        <r>
          <rPr>
            <b/>
            <sz val="10"/>
            <color indexed="81"/>
            <rFont val="Tahoma"/>
            <family val="2"/>
          </rPr>
          <t>WVHEPC:</t>
        </r>
        <r>
          <rPr>
            <sz val="10"/>
            <color indexed="81"/>
            <rFont val="Tahoma"/>
            <family val="2"/>
          </rPr>
          <t xml:space="preserve">
Removed
</t>
        </r>
      </text>
    </comment>
    <comment ref="B724" authorId="1">
      <text>
        <r>
          <rPr>
            <sz val="10"/>
            <color indexed="81"/>
            <rFont val="Tahoma"/>
            <family val="2"/>
          </rPr>
          <t>Reclassified: Met criteria for Two-Year with Bachelor's in 2007-08, 2008-09 and 2009-10.</t>
        </r>
      </text>
    </comment>
    <comment ref="G726" authorId="2">
      <text>
        <r>
          <rPr>
            <b/>
            <sz val="10"/>
            <color indexed="81"/>
            <rFont val="Tahoma"/>
            <family val="2"/>
          </rPr>
          <t>jmarks:</t>
        </r>
        <r>
          <rPr>
            <sz val="10"/>
            <color indexed="81"/>
            <rFont val="Tahoma"/>
            <family val="2"/>
          </rPr>
          <t xml:space="preserve">
P.A. verified</t>
        </r>
      </text>
    </comment>
    <comment ref="B729" authorId="9">
      <text>
        <r>
          <rPr>
            <sz val="10"/>
            <color indexed="81"/>
            <rFont val="Tahoma"/>
            <family val="2"/>
          </rPr>
          <t>Formerly West Virginia State Community &amp; Technical College.</t>
        </r>
      </text>
    </comment>
    <comment ref="B732" authorId="1">
      <text>
        <r>
          <rPr>
            <sz val="10"/>
            <color indexed="81"/>
            <rFont val="Tahoma"/>
            <family val="2"/>
          </rPr>
          <t>Reclassified: Met criteria for Two-Year 3 in 2007-08, 2008-09 and 2009-10.</t>
        </r>
      </text>
    </comment>
    <comment ref="B734" authorId="2">
      <text>
        <r>
          <rPr>
            <sz val="10"/>
            <color indexed="81"/>
            <rFont val="Tahoma"/>
            <family val="2"/>
          </rPr>
          <t>Met the critieria for Two-Year 2 in 2009-10.</t>
        </r>
      </text>
    </comment>
    <comment ref="E734" authorId="8">
      <text>
        <r>
          <rPr>
            <b/>
            <sz val="10"/>
            <color indexed="81"/>
            <rFont val="Tahoma"/>
            <family val="2"/>
          </rPr>
          <t>WVHEPC:</t>
        </r>
        <r>
          <rPr>
            <sz val="10"/>
            <color indexed="81"/>
            <rFont val="Tahoma"/>
            <family val="2"/>
          </rPr>
          <t xml:space="preserve">
Restated to include 
fees assessed to students under special fees for 2008-09
</t>
        </r>
      </text>
    </comment>
  </commentList>
</comments>
</file>

<file path=xl/comments4.xml><?xml version="1.0" encoding="utf-8"?>
<comments xmlns="http://schemas.openxmlformats.org/spreadsheetml/2006/main">
  <authors>
    <author>jmarks</author>
  </authors>
  <commentList>
    <comment ref="E4" authorId="0">
      <text>
        <r>
          <rPr>
            <b/>
            <sz val="10"/>
            <color indexed="81"/>
            <rFont val="Tahoma"/>
            <family val="2"/>
          </rPr>
          <t>jmarks:</t>
        </r>
        <r>
          <rPr>
            <sz val="10"/>
            <color indexed="81"/>
            <rFont val="Tahoma"/>
            <family val="2"/>
          </rPr>
          <t xml:space="preserve">
all ACM states have at least that waiver</t>
        </r>
      </text>
    </comment>
  </commentList>
</comments>
</file>

<file path=xl/sharedStrings.xml><?xml version="1.0" encoding="utf-8"?>
<sst xmlns="http://schemas.openxmlformats.org/spreadsheetml/2006/main" count="2957" uniqueCount="1161">
  <si>
    <t xml:space="preserve">Galveston College </t>
  </si>
  <si>
    <t>Lamar State College-Orange</t>
  </si>
  <si>
    <t>Lamar State College-Port Arthur</t>
  </si>
  <si>
    <t>Northeast Lakeview College (ACCD)</t>
  </si>
  <si>
    <t xml:space="preserve">Northeast Texas Community College </t>
  </si>
  <si>
    <t>Panola College</t>
  </si>
  <si>
    <t xml:space="preserve">Ranger College </t>
  </si>
  <si>
    <t>Southwest Collegiate Institute for the Deaf (HCJCD)</t>
  </si>
  <si>
    <t>Texas State Technical College-Marshall</t>
  </si>
  <si>
    <t>Texas State Technical College-West Texas</t>
  </si>
  <si>
    <t xml:space="preserve">Western Texas College </t>
  </si>
  <si>
    <t>Texas Tech University Health Sciences Center</t>
  </si>
  <si>
    <t>University of North Texas Health Science Center at Fort Worth</t>
  </si>
  <si>
    <t>University of Texas Health Science Center at Houston</t>
  </si>
  <si>
    <t>University of Texas Health Science Center at San Antonio</t>
  </si>
  <si>
    <t>University of Texas M.D. Anderson Cancer Center</t>
  </si>
  <si>
    <t>University of Texas Medical Branch at Galveston</t>
  </si>
  <si>
    <t>University of Texas Southwestern Medical Center at Dallas</t>
  </si>
  <si>
    <t xml:space="preserve">Edison State College </t>
  </si>
  <si>
    <t>Northwest Florida State College</t>
  </si>
  <si>
    <t xml:space="preserve">College of Coastal Georgia </t>
  </si>
  <si>
    <t>North Carolina A&amp;T State University</t>
  </si>
  <si>
    <t>West Liberty University</t>
  </si>
  <si>
    <t>Name</t>
  </si>
  <si>
    <t>IPEDSID</t>
  </si>
  <si>
    <t>OldUGIS</t>
  </si>
  <si>
    <t>NewUGIS</t>
  </si>
  <si>
    <t>OldUGOS</t>
  </si>
  <si>
    <t>NewUGOS</t>
  </si>
  <si>
    <t>OldGIS</t>
  </si>
  <si>
    <t>OldGOS</t>
  </si>
  <si>
    <t>NewGIS</t>
  </si>
  <si>
    <t>NewGOS</t>
  </si>
  <si>
    <t>OldLawIS</t>
  </si>
  <si>
    <t>NewLawIS</t>
  </si>
  <si>
    <t>OldLawOS</t>
  </si>
  <si>
    <t>NewLawOS</t>
  </si>
  <si>
    <t>OldMedIS</t>
  </si>
  <si>
    <t>NewMedIS</t>
  </si>
  <si>
    <t>OldMedOS</t>
  </si>
  <si>
    <t>NewMedOS</t>
  </si>
  <si>
    <t>OldDenIS</t>
  </si>
  <si>
    <t>NewDenIS</t>
  </si>
  <si>
    <t>OldDenOS</t>
  </si>
  <si>
    <t>NewDenOS</t>
  </si>
  <si>
    <t>OldPhrIS</t>
  </si>
  <si>
    <t>NewPhrIS</t>
  </si>
  <si>
    <t>OldPhrOS</t>
  </si>
  <si>
    <t>NewPhrOS</t>
  </si>
  <si>
    <t>OldOptIS</t>
  </si>
  <si>
    <t>NewOptIS</t>
  </si>
  <si>
    <t>OldOptOS</t>
  </si>
  <si>
    <t>NewOptOS</t>
  </si>
  <si>
    <t>OldOstIS</t>
  </si>
  <si>
    <t>NewOstIS</t>
  </si>
  <si>
    <t>Pharmacy Out-of-State</t>
  </si>
  <si>
    <t>Optometry In-State</t>
  </si>
  <si>
    <t>Optometry Out-of-State</t>
  </si>
  <si>
    <t xml:space="preserve">Florida State University </t>
  </si>
  <si>
    <t>University of Florida</t>
  </si>
  <si>
    <t xml:space="preserve">University of South Florida </t>
  </si>
  <si>
    <t xml:space="preserve">Florida Atlantic University </t>
  </si>
  <si>
    <t>Florida International University</t>
  </si>
  <si>
    <t xml:space="preserve">University of Central Florida </t>
  </si>
  <si>
    <t xml:space="preserve">Florida Agricultural &amp; Mechanical University </t>
  </si>
  <si>
    <t>University of North Florida</t>
  </si>
  <si>
    <t>University of West Florida</t>
  </si>
  <si>
    <t>Florida Gulf Coast University</t>
  </si>
  <si>
    <t>New College of Florida</t>
  </si>
  <si>
    <t xml:space="preserve">Cecil Community College </t>
  </si>
  <si>
    <t xml:space="preserve">Chesapeake College </t>
  </si>
  <si>
    <t xml:space="preserve">Garrett College </t>
  </si>
  <si>
    <t xml:space="preserve">Hagerstown Community College </t>
  </si>
  <si>
    <t xml:space="preserve">Wor-Wic Community College </t>
  </si>
  <si>
    <t>University of Maryland University College</t>
  </si>
  <si>
    <t xml:space="preserve">University of Maryland, Baltimore </t>
  </si>
  <si>
    <t>A change of more than a 10% up or any change down will trigger a red warning.</t>
  </si>
  <si>
    <t>2008-09</t>
  </si>
  <si>
    <t xml:space="preserve">Benjamin Franklin Vocational Center </t>
  </si>
  <si>
    <t xml:space="preserve">Boone County Career &amp; Technical Center </t>
  </si>
  <si>
    <t>Cabell County Vocational-Technical Center</t>
  </si>
  <si>
    <t xml:space="preserve">Carver Vocational Center </t>
  </si>
  <si>
    <t xml:space="preserve">Fred W. Eberle Technical Center </t>
  </si>
  <si>
    <t>James Rumsey Technical Institute</t>
  </si>
  <si>
    <t>Marion County Vocational-Technical Center</t>
  </si>
  <si>
    <t xml:space="preserve">McDowell County Vocational-Technical Center </t>
  </si>
  <si>
    <t>Mercer County Vocational-Technical Center</t>
  </si>
  <si>
    <t xml:space="preserve">Mineral County Vocational-Technical Center </t>
  </si>
  <si>
    <t xml:space="preserve">Monongalia County Technical Education Center </t>
  </si>
  <si>
    <t>Putnam County Vocational-Technical Center</t>
  </si>
  <si>
    <t>Raleigh County Academy of Careers and Technology</t>
  </si>
  <si>
    <t>Ralph R. Willis Vocational-Technical Center</t>
  </si>
  <si>
    <t>Roane-Jackson Technical Center</t>
  </si>
  <si>
    <t>Wood County Vocational-Technical Center</t>
  </si>
  <si>
    <t xml:space="preserve">Garnet Vocational Center </t>
  </si>
  <si>
    <t xml:space="preserve">South Carolina State University </t>
  </si>
  <si>
    <t>University of South Carolina-Aiken</t>
  </si>
  <si>
    <t>University of South Carolina-Upstate</t>
  </si>
  <si>
    <t>University of South Carolina-Beaufort</t>
  </si>
  <si>
    <t xml:space="preserve">Greenville Technical College </t>
  </si>
  <si>
    <t xml:space="preserve">Midlands Technical College </t>
  </si>
  <si>
    <t xml:space="preserve">Trident Technical College </t>
  </si>
  <si>
    <t xml:space="preserve">Aiken Technical College </t>
  </si>
  <si>
    <t xml:space="preserve">Central Carolina Technical College </t>
  </si>
  <si>
    <t xml:space="preserve">Florence-Darlington Technical College </t>
  </si>
  <si>
    <t xml:space="preserve">Horry-Georgetown Technical College </t>
  </si>
  <si>
    <t xml:space="preserve">Orangeburg-Calhoun Technical College </t>
  </si>
  <si>
    <t xml:space="preserve">Piedmont Technical College </t>
  </si>
  <si>
    <t xml:space="preserve">Tri-County Technical College </t>
  </si>
  <si>
    <t xml:space="preserve">York Technical College </t>
  </si>
  <si>
    <t xml:space="preserve">Denmark Technical College </t>
  </si>
  <si>
    <t>Northeastern Technical College</t>
  </si>
  <si>
    <t>Technical College of the Lowcountry</t>
  </si>
  <si>
    <t>University of South Carolina-Lancaster</t>
  </si>
  <si>
    <t>University of South Carolina-Salkehatchie</t>
  </si>
  <si>
    <t>University of South Carolina-Sumter</t>
  </si>
  <si>
    <t>University of South Carolina-Union</t>
  </si>
  <si>
    <t xml:space="preserve">Willamsburg Technical College </t>
  </si>
  <si>
    <t>Medical University of South Carolina</t>
  </si>
  <si>
    <t>University of Tennessee, Knoxville</t>
  </si>
  <si>
    <t>University of Memphis</t>
  </si>
  <si>
    <t xml:space="preserve">East Tennessee State University </t>
  </si>
  <si>
    <t xml:space="preserve">Middle Tennessee State University </t>
  </si>
  <si>
    <t xml:space="preserve">Tennessee State University </t>
  </si>
  <si>
    <t>University of Tennessee at Chattanooga</t>
  </si>
  <si>
    <t xml:space="preserve">Austin Peay State University </t>
  </si>
  <si>
    <t xml:space="preserve">Tennessee Technological University </t>
  </si>
  <si>
    <t>University of Tennessee at Martin</t>
  </si>
  <si>
    <t xml:space="preserve">Chattanooga State Technical Community College </t>
  </si>
  <si>
    <t>Pellissippi State Technical Community College</t>
  </si>
  <si>
    <t>Southwest Tennessee Community College</t>
  </si>
  <si>
    <t xml:space="preserve">Cleveland State Community College </t>
  </si>
  <si>
    <t xml:space="preserve">Columbia State Community College </t>
  </si>
  <si>
    <t xml:space="preserve">Jackson State Community College </t>
  </si>
  <si>
    <t xml:space="preserve">Motlow State Community College </t>
  </si>
  <si>
    <t>KY</t>
  </si>
  <si>
    <t>Median Annual Tuition and Required Fees</t>
  </si>
  <si>
    <t>Full-Time In-State Undergraduate Students</t>
  </si>
  <si>
    <t xml:space="preserve">Four-Year </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</si>
  <si>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</si>
  <si>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</si>
  <si>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</si>
  <si>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</si>
  <si>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</si>
  <si>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</si>
  <si>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</si>
  <si>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</si>
  <si>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</si>
  <si>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</si>
  <si>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</si>
  <si>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</si>
  <si>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</si>
  <si>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</si>
  <si>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</si>
  <si>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Full-Time Out-of-State Undergraduate Students</t>
  </si>
  <si>
    <t>Full-Time In-State Graduate Students</t>
  </si>
  <si>
    <t xml:space="preserve">Notes: The amounts shown for each state are the medians (middle values) of the institutions in each state. The "SREB states median" is the middle value of all institutions of each type. Full-time undergraduate students are defined by a 30 credit hour load per year. </t>
  </si>
  <si>
    <t xml:space="preserve">Auburn University  </t>
  </si>
  <si>
    <t xml:space="preserve">University of Alabama </t>
  </si>
  <si>
    <t>University of Alabama at Birmingham</t>
  </si>
  <si>
    <t>University of Alabama in Huntsville</t>
  </si>
  <si>
    <t>Alabama Agricultural &amp; Mechanical University</t>
  </si>
  <si>
    <t xml:space="preserve">Jacksonville State University </t>
  </si>
  <si>
    <t>Troy University</t>
  </si>
  <si>
    <t>University of South Alabama</t>
  </si>
  <si>
    <t xml:space="preserve">Alabama State University </t>
  </si>
  <si>
    <t>Auburn University at Montgomery</t>
  </si>
  <si>
    <t>University of North Alabama</t>
  </si>
  <si>
    <t>University of Montevallo</t>
  </si>
  <si>
    <t>University of West Alabama</t>
  </si>
  <si>
    <t>Athens State University</t>
  </si>
  <si>
    <t>Jefferson State Community College</t>
  </si>
  <si>
    <t xml:space="preserve">John C. Calhoun State Community College </t>
  </si>
  <si>
    <t>Bevill State Community College</t>
  </si>
  <si>
    <t>Bishop State Community College</t>
  </si>
  <si>
    <t>George C. Wallace State Community College - Dothan</t>
  </si>
  <si>
    <t>James H. Faulkner State Community College</t>
  </si>
  <si>
    <t xml:space="preserve">Lawson State Community College </t>
  </si>
  <si>
    <t>Northwest-Shoals Community College</t>
  </si>
  <si>
    <t>Shelton State Community College</t>
  </si>
  <si>
    <t>Southern Union State Community College</t>
  </si>
  <si>
    <t>Wallace Community College - Hanceville</t>
  </si>
  <si>
    <t>Alabama Southern Community College</t>
  </si>
  <si>
    <t>Central Alabama Community College</t>
  </si>
  <si>
    <t xml:space="preserve">Chattahoochee Valley State Community College </t>
  </si>
  <si>
    <t>George Corley Wallace State Community College - Selma</t>
  </si>
  <si>
    <t>Jefferson Davis Community College</t>
  </si>
  <si>
    <t xml:space="preserve">Lurleen B. Wallace Community College </t>
  </si>
  <si>
    <t xml:space="preserve">Northeast Alabama State Community College </t>
  </si>
  <si>
    <t xml:space="preserve">Snead State Community College </t>
  </si>
  <si>
    <t xml:space="preserve">Trenholm State Technical College </t>
  </si>
  <si>
    <t xml:space="preserve">J.F. Drake State Technical College </t>
  </si>
  <si>
    <t xml:space="preserve">J.F. Ingram State Technical College </t>
  </si>
  <si>
    <t xml:space="preserve">Reid State Technical College </t>
  </si>
  <si>
    <t xml:space="preserve">Marion Military Institute </t>
  </si>
  <si>
    <t>MEDIANS</t>
  </si>
  <si>
    <t>Two-Year 3 (10)</t>
  </si>
  <si>
    <t>Technical 1 (12)</t>
  </si>
  <si>
    <t>Professional</t>
  </si>
  <si>
    <t xml:space="preserve">Indian Capital Technology Center-Sallisaw         </t>
  </si>
  <si>
    <t>Table 104</t>
  </si>
  <si>
    <t>Table 105</t>
  </si>
  <si>
    <t>Osteopathic</t>
  </si>
  <si>
    <t>Veterinary</t>
  </si>
  <si>
    <t>Law</t>
  </si>
  <si>
    <t>Medicine</t>
  </si>
  <si>
    <t>Dentistry</t>
  </si>
  <si>
    <t>Pharmacy</t>
  </si>
  <si>
    <t>Optometry</t>
  </si>
  <si>
    <t>Notes:  The amounts shown for each state are the medians (middle values) of the institutions in each state.  The "SREB states median" is the middle value of all institutions with the professional program.</t>
  </si>
  <si>
    <t>Full-Time Out-of-State Students in Professional Programs</t>
  </si>
  <si>
    <t>Delaware</t>
  </si>
  <si>
    <t>LA</t>
  </si>
  <si>
    <t>Type</t>
  </si>
  <si>
    <t>OK</t>
  </si>
  <si>
    <t>TN</t>
  </si>
  <si>
    <t>TX</t>
  </si>
  <si>
    <t>Virginia*</t>
  </si>
  <si>
    <t>Institution</t>
  </si>
  <si>
    <t>ID #</t>
  </si>
  <si>
    <t>Category</t>
  </si>
  <si>
    <t>All 4yr</t>
  </si>
  <si>
    <t>SREB</t>
  </si>
  <si>
    <t>Size Unknown</t>
  </si>
  <si>
    <t>Veterinary Med. Out-of-State</t>
  </si>
  <si>
    <t>Veterinary Med In-State</t>
  </si>
  <si>
    <t>Osteopathic Med Out-of-State</t>
  </si>
  <si>
    <t>Osteopathic Med In-State</t>
  </si>
  <si>
    <t>Technical Institute or College</t>
  </si>
  <si>
    <t>Pharmacy In-State</t>
  </si>
  <si>
    <t>Oklahoma State University Main Campus</t>
  </si>
  <si>
    <t>University of Oklahoma Norman Campus</t>
  </si>
  <si>
    <t>207500</t>
  </si>
  <si>
    <t>Northeastern State University</t>
  </si>
  <si>
    <t>University of Central Oklahoma</t>
  </si>
  <si>
    <t xml:space="preserve">Cameron University </t>
  </si>
  <si>
    <t xml:space="preserve">East Central University </t>
  </si>
  <si>
    <t>Langston University</t>
  </si>
  <si>
    <t xml:space="preserve">Northwestern Oklahoma State University </t>
  </si>
  <si>
    <t xml:space="preserve">Southeastern Oklahoma State University </t>
  </si>
  <si>
    <t>Southwestern Oklahoma State University</t>
  </si>
  <si>
    <t xml:space="preserve">Oklahoma Panhandle State University </t>
  </si>
  <si>
    <t>University of Science and Arts of Oklahoma</t>
  </si>
  <si>
    <t>Rogers State University</t>
  </si>
  <si>
    <t xml:space="preserve">Oklahoma City Community College </t>
  </si>
  <si>
    <t xml:space="preserve">Tulsa Community College </t>
  </si>
  <si>
    <t xml:space="preserve">Northern Oklahoma College </t>
  </si>
  <si>
    <t xml:space="preserve">Oklahoma State University Technical Branch-Okmulgee </t>
  </si>
  <si>
    <t xml:space="preserve">Oklahoma State University-Oklahoma City </t>
  </si>
  <si>
    <t xml:space="preserve">Rose State College </t>
  </si>
  <si>
    <t>Carl Albert State College</t>
  </si>
  <si>
    <t xml:space="preserve">Connors State College </t>
  </si>
  <si>
    <t xml:space="preserve">Eastern Oklahoma State College </t>
  </si>
  <si>
    <t xml:space="preserve">Murray State College </t>
  </si>
  <si>
    <t xml:space="preserve">Northeastern Oklahoma A &amp; M College </t>
  </si>
  <si>
    <t>Redlands Community College</t>
  </si>
  <si>
    <t xml:space="preserve">Seminole State College </t>
  </si>
  <si>
    <t xml:space="preserve">Western Oklahoma State College </t>
  </si>
  <si>
    <t>Clemson University</t>
  </si>
  <si>
    <t>University of South Carolina-Columbia</t>
  </si>
  <si>
    <t>College of Charleston</t>
  </si>
  <si>
    <t xml:space="preserve">Winthrop University </t>
  </si>
  <si>
    <t xml:space="preserve">The Citadel, the Military College of South Carolina </t>
  </si>
  <si>
    <t>Coastal Carolina University</t>
  </si>
  <si>
    <t xml:space="preserve">Francis Marion University </t>
  </si>
  <si>
    <t>Lander University</t>
  </si>
  <si>
    <t>Old</t>
  </si>
  <si>
    <t>New</t>
  </si>
  <si>
    <t>% Change</t>
  </si>
  <si>
    <t>Undergraduate In-State</t>
  </si>
  <si>
    <t>Undergraduate Out-of-State</t>
  </si>
  <si>
    <t>Graduate In-State</t>
  </si>
  <si>
    <t>Graduate Out-of-State</t>
  </si>
  <si>
    <t>Law In-State</t>
  </si>
  <si>
    <t>Law Out-of-State</t>
  </si>
  <si>
    <t>Medicine In-State</t>
  </si>
  <si>
    <t>Medicine Out-of-State</t>
  </si>
  <si>
    <t>Dentistry In-State</t>
  </si>
  <si>
    <t>Dentistry Out-of-State</t>
  </si>
  <si>
    <t>West Virginia University</t>
  </si>
  <si>
    <t>Tennessee Technology Center at Hohenwald</t>
  </si>
  <si>
    <t>OldOstOS</t>
  </si>
  <si>
    <t>NewOstOS</t>
  </si>
  <si>
    <t>OldVetIS</t>
  </si>
  <si>
    <t>NewVetIS</t>
  </si>
  <si>
    <t>OldVetOS</t>
  </si>
  <si>
    <t>NewVetOS</t>
  </si>
  <si>
    <t>Table 102</t>
  </si>
  <si>
    <t>Table 103</t>
  </si>
  <si>
    <t>Notes: The amounts shown for each state are the medians (middle values) of the institutions in each state. The "SREB states median" is the middle value of all institutions with the professional program.</t>
  </si>
  <si>
    <t>Tennessee Technology Center at Memphis</t>
  </si>
  <si>
    <t>Tennessee Technology Center at Morristown</t>
  </si>
  <si>
    <t>Tennessee Technology Center at Murfeesboro</t>
  </si>
  <si>
    <t>Tennessee Technology Center at Nashville</t>
  </si>
  <si>
    <t>Tennessee Technology Center at Newbern</t>
  </si>
  <si>
    <t>Tennessee Technology Center at Oneida</t>
  </si>
  <si>
    <t>Tennessee Technology Center at Paris</t>
  </si>
  <si>
    <t>Tennessee Technology Center at Pulaski</t>
  </si>
  <si>
    <t>Tennessee Technology Center at Ripley</t>
  </si>
  <si>
    <t>Tennessee Technology Center at Shelbyville</t>
  </si>
  <si>
    <t>Tennessee Technology Center at Whiteville</t>
  </si>
  <si>
    <t>University of Tennessee Health Science Center</t>
  </si>
  <si>
    <t>With Bach-    elor's</t>
  </si>
  <si>
    <t>with Bach- elor's</t>
  </si>
  <si>
    <t>McDowell Technical Community College</t>
  </si>
  <si>
    <t>Montgomery Community College</t>
  </si>
  <si>
    <t>Pamlico Community College</t>
  </si>
  <si>
    <t>Roanoke-Chowan Community College</t>
  </si>
  <si>
    <t>Sampson Community College</t>
  </si>
  <si>
    <t xml:space="preserve">Tri-County Community College </t>
  </si>
  <si>
    <t>Albany Technical College</t>
  </si>
  <si>
    <t>Altamaha Technical College</t>
  </si>
  <si>
    <t>Athens Technical College</t>
  </si>
  <si>
    <t>Atlanta Technical College</t>
  </si>
  <si>
    <t>Augusta Technical College</t>
  </si>
  <si>
    <t>All Technical</t>
  </si>
  <si>
    <t>SREB states</t>
  </si>
  <si>
    <t xml:space="preserve">Marshall University </t>
  </si>
  <si>
    <t xml:space="preserve">Bluefield State College </t>
  </si>
  <si>
    <t xml:space="preserve">Concord University </t>
  </si>
  <si>
    <t xml:space="preserve">Glenville State College </t>
  </si>
  <si>
    <t xml:space="preserve">Shepherd University </t>
  </si>
  <si>
    <t xml:space="preserve">West Virginia State University </t>
  </si>
  <si>
    <t>West Virginia University Institute of Technology</t>
  </si>
  <si>
    <t xml:space="preserve"> </t>
  </si>
  <si>
    <t>Table 101</t>
  </si>
  <si>
    <t>Technical 2 (13)</t>
  </si>
  <si>
    <t>Technical size unk (14)</t>
  </si>
  <si>
    <t xml:space="preserve">Texas </t>
  </si>
  <si>
    <t xml:space="preserve">Francis Tuttle Technology Center                  </t>
  </si>
  <si>
    <t xml:space="preserve">Great Plains Technology Center                    </t>
  </si>
  <si>
    <t xml:space="preserve">Metro Technology Centers                          </t>
  </si>
  <si>
    <t xml:space="preserve">Moore Norman Technology Center                    </t>
  </si>
  <si>
    <t xml:space="preserve">Tulsa Technology Center-Broken Arrow Campus       </t>
  </si>
  <si>
    <t xml:space="preserve">Autry Technology Center                           </t>
  </si>
  <si>
    <t xml:space="preserve">Caddo Kiowa Technology Center                     </t>
  </si>
  <si>
    <t xml:space="preserve">Canadian Valley Technology Center                 </t>
  </si>
  <si>
    <t xml:space="preserve">Central Technology Center                         </t>
  </si>
  <si>
    <t xml:space="preserve">Chisholm Trail Technology Center                  </t>
  </si>
  <si>
    <t xml:space="preserve">Eastern Oklahoma County Technology Center         </t>
  </si>
  <si>
    <t xml:space="preserve">Gordon Cooper Technology Center                   </t>
  </si>
  <si>
    <t xml:space="preserve">Green Country Technology Center                   </t>
  </si>
  <si>
    <t xml:space="preserve">High Plains Technology Center                     </t>
  </si>
  <si>
    <t xml:space="preserve">Indian Capital Technology Center-Muskogee         </t>
  </si>
  <si>
    <t xml:space="preserve">Notes: The amounts shown for each state are the medians (middle values) of the institutions in each state. The "SREB states median" is the middle value of all institutions of each type. Full-time undergraduate students are defined by a 30 credit hour load per year. For two-year colleges, "in-district" rates are reported in the "in-state" column and "out-of-district" may be reported in the "out-of-state" column, if no other out-of-state rates apply. In Technical Institutes and Colleges in Georgia, degree program students are charged slightly higher fees than those shown above that reflect charges to students in certificate or diploma programs. </t>
  </si>
  <si>
    <t xml:space="preserve">Pensacola Junior College </t>
  </si>
  <si>
    <t xml:space="preserve">Polk Community College </t>
  </si>
  <si>
    <t xml:space="preserve">St. Johns River Community College </t>
  </si>
  <si>
    <t xml:space="preserve">St. Petersburg College </t>
  </si>
  <si>
    <t xml:space="preserve">Santa Fe Community College </t>
  </si>
  <si>
    <t xml:space="preserve">Seminole Community College </t>
  </si>
  <si>
    <t xml:space="preserve">South Florida Community College </t>
  </si>
  <si>
    <t xml:space="preserve">Tallahassee Community College </t>
  </si>
  <si>
    <t xml:space="preserve">Valencia Community College </t>
  </si>
  <si>
    <t xml:space="preserve">Indian Capital Technology Center-Stilwell         </t>
  </si>
  <si>
    <t xml:space="preserve">Indian Capital Technology Center-Tahlequah        </t>
  </si>
  <si>
    <t xml:space="preserve">Kiamichi Technology Center-Atoka                  </t>
  </si>
  <si>
    <t xml:space="preserve">Kiamichi Technology Center-Durant                 </t>
  </si>
  <si>
    <t xml:space="preserve">Kiamichi Technology Center-Hugo                   </t>
  </si>
  <si>
    <t xml:space="preserve">Kiamichi Technology Center-Idabel                 </t>
  </si>
  <si>
    <t xml:space="preserve">Kiamichi Technology Center-McAlester              </t>
  </si>
  <si>
    <t xml:space="preserve">Kiamichi Technology Center-Poteau                 </t>
  </si>
  <si>
    <t xml:space="preserve">Kiamichi Technology Center-Spiro                  </t>
  </si>
  <si>
    <t xml:space="preserve">Kiamichi Technology Center-Stigler                </t>
  </si>
  <si>
    <t xml:space="preserve">Kiamichi Technology Center-Talihina               </t>
  </si>
  <si>
    <t xml:space="preserve">Meridian Technology Center                        </t>
  </si>
  <si>
    <t xml:space="preserve">Mid-America Technology Center                     </t>
  </si>
  <si>
    <t xml:space="preserve">Mid-Del Technology Center                         </t>
  </si>
  <si>
    <t xml:space="preserve">Northeast Technology Center-Afton                 </t>
  </si>
  <si>
    <t xml:space="preserve">Northeast Technology Center-Kansas                </t>
  </si>
  <si>
    <t xml:space="preserve">Northeast Technology Center-Pryor                 </t>
  </si>
  <si>
    <t xml:space="preserve">Northwest Technology Center-Alva                  </t>
  </si>
  <si>
    <t xml:space="preserve">Northwest Technology Center-Fairview              </t>
  </si>
  <si>
    <t xml:space="preserve">Pioneer Technology Center                         </t>
  </si>
  <si>
    <t xml:space="preserve">Pontotoc Technology Center                        </t>
  </si>
  <si>
    <t xml:space="preserve">Red River Technology Center                       </t>
  </si>
  <si>
    <t xml:space="preserve">Southern Oklahoma Technology Center               </t>
  </si>
  <si>
    <t xml:space="preserve">Southwest Technology Center                       </t>
  </si>
  <si>
    <t xml:space="preserve">Tri County Technology Center                      </t>
  </si>
  <si>
    <t xml:space="preserve">Tulsa County Area Voc Tech School Dist 18-Peoria  </t>
  </si>
  <si>
    <t xml:space="preserve">Tulsa Technology Center-Lemley Campus             </t>
  </si>
  <si>
    <t xml:space="preserve">Tulsa Technology Center-Riverside Campus          </t>
  </si>
  <si>
    <t xml:space="preserve">Wes Watkins Technology Center                     </t>
  </si>
  <si>
    <t xml:space="preserve">Western Technology Center                         </t>
  </si>
  <si>
    <t>Four-Year 1</t>
  </si>
  <si>
    <t>Four-Year 2</t>
  </si>
  <si>
    <t>Four-Year 3</t>
  </si>
  <si>
    <t>Four-Year 4</t>
  </si>
  <si>
    <t>Four-Year 5</t>
  </si>
  <si>
    <t>Four-Year 6</t>
  </si>
  <si>
    <t>Two-Year w/ bachs (7)</t>
  </si>
  <si>
    <t>Two-Year 1 (8)</t>
  </si>
  <si>
    <t>Two-Year 2 (9)</t>
  </si>
  <si>
    <t xml:space="preserve">Volunteer State Community College </t>
  </si>
  <si>
    <t xml:space="preserve">Walters State Community College </t>
  </si>
  <si>
    <t xml:space="preserve">Dyersburg State Community College </t>
  </si>
  <si>
    <t>Tennessee Technology Center at Athens</t>
  </si>
  <si>
    <t>Tennessee Technology Center at Chattanooga</t>
  </si>
  <si>
    <t>219824B</t>
  </si>
  <si>
    <t>Tennessee Technology Center at Covington</t>
  </si>
  <si>
    <t>Tennessee Technology Center at Crossville</t>
  </si>
  <si>
    <t>Tennessee Technology Center at Crump</t>
  </si>
  <si>
    <t>Tennessee Technology Center at Dickson</t>
  </si>
  <si>
    <t>Tennessee Technology Center at Elizabethton</t>
  </si>
  <si>
    <t>Tennessee Technology Center at Harriman</t>
  </si>
  <si>
    <t>Tennessee Technology Center at Hartsville</t>
  </si>
  <si>
    <t>Tennessee Technology Center at Jacksboro</t>
  </si>
  <si>
    <t>Tennessee Technology Center at Jackson</t>
  </si>
  <si>
    <t>Tennessee Technology Center at Knoxville</t>
  </si>
  <si>
    <t>Tennessee Technology Center at Livingston</t>
  </si>
  <si>
    <t>Tennessee Technology Center at McKenzie</t>
  </si>
  <si>
    <t>Tennessee Technology Center at McMinnville</t>
  </si>
  <si>
    <t>University of Maryland College Park</t>
  </si>
  <si>
    <t>University of Maryland, Baltimore County</t>
  </si>
  <si>
    <t xml:space="preserve">Towson University </t>
  </si>
  <si>
    <t xml:space="preserve">Bowie State University </t>
  </si>
  <si>
    <t xml:space="preserve">Frostburg State University </t>
  </si>
  <si>
    <t>Morgan State University</t>
  </si>
  <si>
    <t xml:space="preserve">Salisbury University </t>
  </si>
  <si>
    <t>University of Baltimore</t>
  </si>
  <si>
    <t xml:space="preserve">University of Maryland Eastern Shore </t>
  </si>
  <si>
    <t>Coppin State University</t>
  </si>
  <si>
    <t>Saint Mary's College of Maryland</t>
  </si>
  <si>
    <t xml:space="preserve">Anne Arundel Community College </t>
  </si>
  <si>
    <t>Community College of Baltimore County</t>
  </si>
  <si>
    <t>Montgomery College</t>
  </si>
  <si>
    <t xml:space="preserve">Prince George's Community College </t>
  </si>
  <si>
    <t>Baltimore City Community College</t>
  </si>
  <si>
    <t xml:space="preserve">Frederick Community College </t>
  </si>
  <si>
    <t xml:space="preserve">Harford Community College </t>
  </si>
  <si>
    <t xml:space="preserve">Howard Community College </t>
  </si>
  <si>
    <t>Allegany College of Maryland</t>
  </si>
  <si>
    <t>Carroll Community College</t>
  </si>
  <si>
    <t>Nashville State Technical Community College</t>
  </si>
  <si>
    <t>Northeast State Technical Community College</t>
  </si>
  <si>
    <t xml:space="preserve">Roane State Community College </t>
  </si>
  <si>
    <t>Notes: The amounts shown for each state are the medians (middle values) of the institutions in each state. The "SREB states median" is the middle value of all institutions of each type. Full-time graduate students are defined by a 24 credit hour load per year.</t>
  </si>
  <si>
    <t xml:space="preserve">North Carolina State University </t>
  </si>
  <si>
    <t xml:space="preserve">University of North Carolina at Chapel Hill </t>
  </si>
  <si>
    <t>University of North Carolina at Greensboro</t>
  </si>
  <si>
    <t xml:space="preserve">Sandhills Community College </t>
  </si>
  <si>
    <t>South Piedmont Community College</t>
  </si>
  <si>
    <t xml:space="preserve">Southeastern Community College </t>
  </si>
  <si>
    <t xml:space="preserve">Southwestern Community College </t>
  </si>
  <si>
    <t>Stanly Community College</t>
  </si>
  <si>
    <t xml:space="preserve">Surry Community College </t>
  </si>
  <si>
    <t xml:space="preserve">Vance-Granville Community College </t>
  </si>
  <si>
    <t>Wayne Community College</t>
  </si>
  <si>
    <t xml:space="preserve">Western Piedmont Community College </t>
  </si>
  <si>
    <t xml:space="preserve">Wilkes Community College </t>
  </si>
  <si>
    <t>Wilson Technical Community College</t>
  </si>
  <si>
    <t>Bladen Community College</t>
  </si>
  <si>
    <t>Brunswick Community College</t>
  </si>
  <si>
    <t>Carteret Community College</t>
  </si>
  <si>
    <t xml:space="preserve">Halifax Community College </t>
  </si>
  <si>
    <t>James Sprunt Community College</t>
  </si>
  <si>
    <t xml:space="preserve">Martin Community College </t>
  </si>
  <si>
    <t>Mayland Community College</t>
  </si>
  <si>
    <t>Full-Time Out-of-State Graduate Students</t>
  </si>
  <si>
    <t>Full-Time In-State Students in Professional Programs</t>
  </si>
  <si>
    <t>University of Virginia</t>
  </si>
  <si>
    <t xml:space="preserve">Virginia Tech </t>
  </si>
  <si>
    <t>College of William &amp; Mary</t>
  </si>
  <si>
    <t xml:space="preserve">George Mason University </t>
  </si>
  <si>
    <t xml:space="preserve">Old Dominion University </t>
  </si>
  <si>
    <t>James Madison University</t>
  </si>
  <si>
    <t>Radford University</t>
  </si>
  <si>
    <t>Christopher Newport University</t>
  </si>
  <si>
    <t xml:space="preserve">Norfolk State University </t>
  </si>
  <si>
    <t xml:space="preserve">Virginia State University </t>
  </si>
  <si>
    <t xml:space="preserve">Longwood University </t>
  </si>
  <si>
    <t xml:space="preserve">University of Mary Washington </t>
  </si>
  <si>
    <t xml:space="preserve">University of Virginia's College at Wise </t>
  </si>
  <si>
    <t>J.S. Reynolds Community College</t>
  </si>
  <si>
    <t xml:space="preserve">Northern Virginia Community College </t>
  </si>
  <si>
    <t xml:space="preserve">Thomas Nelson Community College </t>
  </si>
  <si>
    <t xml:space="preserve">Tidewater Community College </t>
  </si>
  <si>
    <t xml:space="preserve">Blue Ridge Community College </t>
  </si>
  <si>
    <t xml:space="preserve">Central Virginia Community College </t>
  </si>
  <si>
    <t xml:space="preserve">Danville Community College </t>
  </si>
  <si>
    <t>Germanna Community College</t>
  </si>
  <si>
    <t>John Tyler Community College</t>
  </si>
  <si>
    <t>Lord Fairfax Community College</t>
  </si>
  <si>
    <t xml:space="preserve">New River Community College </t>
  </si>
  <si>
    <t xml:space="preserve">Patrick Henry Community College </t>
  </si>
  <si>
    <t xml:space="preserve">Piedmont Virginia Community College </t>
  </si>
  <si>
    <t xml:space="preserve">Southside Virginia Community College  </t>
  </si>
  <si>
    <t xml:space="preserve">Southwest Virginia Community College </t>
  </si>
  <si>
    <t xml:space="preserve">Virginia Western Community College </t>
  </si>
  <si>
    <t xml:space="preserve">D.S. Lancaster Community College </t>
  </si>
  <si>
    <t xml:space="preserve">Eastern Shore Community College  </t>
  </si>
  <si>
    <t>Mountain Empire Community College</t>
  </si>
  <si>
    <t xml:space="preserve">Paul D. Camp Community College  </t>
  </si>
  <si>
    <t xml:space="preserve">Rappahannock Community College  </t>
  </si>
  <si>
    <t xml:space="preserve">Richard Bland College </t>
  </si>
  <si>
    <t xml:space="preserve">Virginia Highlands Community College </t>
  </si>
  <si>
    <t xml:space="preserve">Wytheville Community College </t>
  </si>
  <si>
    <t>Virginia Military Institute</t>
  </si>
  <si>
    <t>Central Georgia Technical College</t>
  </si>
  <si>
    <t>Chattahoochee Technical College</t>
  </si>
  <si>
    <t>Columbus Technical College</t>
  </si>
  <si>
    <t>DeKalb Technical College</t>
  </si>
  <si>
    <t>East Central Technical College</t>
  </si>
  <si>
    <t>Flint River Technical College</t>
  </si>
  <si>
    <t>Griffin Technical College</t>
  </si>
  <si>
    <t>Gwinnett Technical College</t>
  </si>
  <si>
    <t>Heart of Georgia Technical College</t>
  </si>
  <si>
    <t>Lanier Technical College</t>
  </si>
  <si>
    <t>Middle Georgia Technical College</t>
  </si>
  <si>
    <t>Moultrie Technical College</t>
  </si>
  <si>
    <t>North Georgia Technical College</t>
  </si>
  <si>
    <t>Ogeechee Technical College</t>
  </si>
  <si>
    <t>Okefenokee Technical College</t>
  </si>
  <si>
    <t>Savannah Technical College</t>
  </si>
  <si>
    <t>South Georgia Technical College</t>
  </si>
  <si>
    <t>Southeastern Technical College</t>
  </si>
  <si>
    <t>Southwest Georgia Technical College</t>
  </si>
  <si>
    <t>Valdosta Technical College</t>
  </si>
  <si>
    <t>West Georgia Technical College</t>
  </si>
  <si>
    <t>Sandersville Technical College</t>
  </si>
  <si>
    <t>West Virginia University at Parkersburg</t>
  </si>
  <si>
    <t>Pierpont Community &amp; Technical College</t>
  </si>
  <si>
    <t>Blue Ridge Community &amp; Technical College</t>
  </si>
  <si>
    <t>Eastern West Virginia Community &amp; Technical College</t>
  </si>
  <si>
    <t>Marshall Community &amp; Technical College</t>
  </si>
  <si>
    <t>New River Community &amp; Technical College</t>
  </si>
  <si>
    <t>Potomac State College of West Virginia University</t>
  </si>
  <si>
    <t>Southern West Virginia Community &amp; Technical Coll</t>
  </si>
  <si>
    <t>West Virginia Northern Community College</t>
  </si>
  <si>
    <t>West Virginia School of Osteopathic Medicine</t>
  </si>
  <si>
    <t xml:space="preserve">Brevard Community College </t>
  </si>
  <si>
    <t xml:space="preserve">Broward Community College </t>
  </si>
  <si>
    <t xml:space="preserve">Central Florida Community College </t>
  </si>
  <si>
    <t xml:space="preserve">Chipola College </t>
  </si>
  <si>
    <t xml:space="preserve">Daytona Beach Community College </t>
  </si>
  <si>
    <t>Florida Community College at Jacksonville</t>
  </si>
  <si>
    <t xml:space="preserve">Florida Keys Community College </t>
  </si>
  <si>
    <t xml:space="preserve">Gulf Coast Community College </t>
  </si>
  <si>
    <t xml:space="preserve">Hillsborough Community College </t>
  </si>
  <si>
    <t xml:space="preserve">Indian River Community College </t>
  </si>
  <si>
    <t xml:space="preserve">Lake City Community College </t>
  </si>
  <si>
    <t xml:space="preserve">Lake-Sumter Community College </t>
  </si>
  <si>
    <t xml:space="preserve">Miami Dade College </t>
  </si>
  <si>
    <t xml:space="preserve">North Florida Community College </t>
  </si>
  <si>
    <t xml:space="preserve">Palm Beach Community College </t>
  </si>
  <si>
    <t xml:space="preserve">Pasco-Hernando Community College </t>
  </si>
  <si>
    <t>University of Arkansas at Fort Smith</t>
  </si>
  <si>
    <t>Fairmont State University</t>
  </si>
  <si>
    <t xml:space="preserve">Two-Year </t>
  </si>
  <si>
    <t>size unknown</t>
  </si>
  <si>
    <t>All 2yr</t>
  </si>
  <si>
    <t>Table 98</t>
  </si>
  <si>
    <t>Table 99</t>
  </si>
  <si>
    <t>Table 100</t>
  </si>
  <si>
    <t xml:space="preserve">Appalachian State University </t>
  </si>
  <si>
    <t xml:space="preserve">East Carolina University </t>
  </si>
  <si>
    <t xml:space="preserve">North Carolina Central University </t>
  </si>
  <si>
    <t>University of Arkansas, Fayetteville</t>
  </si>
  <si>
    <t>Arkansas State University</t>
  </si>
  <si>
    <t>University of Arkansas at Little Rock</t>
  </si>
  <si>
    <t xml:space="preserve">University of Central Arkansas </t>
  </si>
  <si>
    <t>Arkansas Tech University</t>
  </si>
  <si>
    <t>Henderson State University</t>
  </si>
  <si>
    <t>Southern Arkansas University</t>
  </si>
  <si>
    <t>University of Arkansas at Monticello</t>
  </si>
  <si>
    <t>University of Arkansas at Pine Bluff</t>
  </si>
  <si>
    <t>Pulaski Technical College</t>
  </si>
  <si>
    <t>Arkansas State University-Beebe</t>
  </si>
  <si>
    <t xml:space="preserve">Northwest Arkansas Community College </t>
  </si>
  <si>
    <t>Arkansas Northeastern College</t>
  </si>
  <si>
    <t>Arkansas State University Mountain Home</t>
  </si>
  <si>
    <t>Arkansas State University-Newport</t>
  </si>
  <si>
    <t>Black River Technical College</t>
  </si>
  <si>
    <t>Cossatot Community College of the University of Arkansas</t>
  </si>
  <si>
    <t xml:space="preserve">East Arkansas Community College </t>
  </si>
  <si>
    <t xml:space="preserve">Mid-South Community College </t>
  </si>
  <si>
    <t>National Park Community College</t>
  </si>
  <si>
    <t>North Arkansas College</t>
  </si>
  <si>
    <t xml:space="preserve">Ouachita Technical College </t>
  </si>
  <si>
    <t xml:space="preserve">Ozarka College </t>
  </si>
  <si>
    <t>Phillips Community College of the Univ of Arkansas</t>
  </si>
  <si>
    <t xml:space="preserve">Rich Mountain Community College </t>
  </si>
  <si>
    <t>South Arkansas Community College</t>
  </si>
  <si>
    <t>Southeast Arkansas College</t>
  </si>
  <si>
    <t>Southern Arkansas University Tech</t>
  </si>
  <si>
    <t>University of Arkansas Community College at Batesville</t>
  </si>
  <si>
    <t>University of Arkansas Community College at Hope</t>
  </si>
  <si>
    <t>University of Arkansas Community College at Morrilton</t>
  </si>
  <si>
    <t>University of Arkansas for Medical Sciences</t>
  </si>
  <si>
    <t>University of North Carolina at Charlotte</t>
  </si>
  <si>
    <t>University of North Carolina at Wilmington</t>
  </si>
  <si>
    <t xml:space="preserve">Western Carolina University </t>
  </si>
  <si>
    <t xml:space="preserve">Fayetteville State University </t>
  </si>
  <si>
    <t>University of North Carolina at Pembroke</t>
  </si>
  <si>
    <t xml:space="preserve">Elizabeth City State University </t>
  </si>
  <si>
    <t>University of North Carolina at Asheville</t>
  </si>
  <si>
    <t xml:space="preserve">Winston-Salem State University </t>
  </si>
  <si>
    <t>North Carolina School of the Arts</t>
  </si>
  <si>
    <t>Asheville-Buncombe Technical Community College</t>
  </si>
  <si>
    <t>Cape Fear Community College</t>
  </si>
  <si>
    <t>Catawba Valley Community College</t>
  </si>
  <si>
    <t>Central Carolina Commuity College</t>
  </si>
  <si>
    <t xml:space="preserve">Central Piedmont Community College </t>
  </si>
  <si>
    <t>Fayetteville Technical Community College</t>
  </si>
  <si>
    <t>Forsyth Technical Community College</t>
  </si>
  <si>
    <t>Guilford Technical Community College</t>
  </si>
  <si>
    <t>Pitt Community College</t>
  </si>
  <si>
    <t>Wake Technical Community College</t>
  </si>
  <si>
    <t>Alamance Community College</t>
  </si>
  <si>
    <t xml:space="preserve">Beaufort County Community College </t>
  </si>
  <si>
    <t>Blue Ridge Community College</t>
  </si>
  <si>
    <t>Cleveland Community College</t>
  </si>
  <si>
    <t xml:space="preserve">Coastal Carolina Community College </t>
  </si>
  <si>
    <t>College of the Albemarle</t>
  </si>
  <si>
    <t xml:space="preserve">Craven Community College </t>
  </si>
  <si>
    <t xml:space="preserve">Davidson County Community College </t>
  </si>
  <si>
    <t>Durham Technical Community College</t>
  </si>
  <si>
    <t>Edgecombe Community College</t>
  </si>
  <si>
    <t xml:space="preserve">Gaston College </t>
  </si>
  <si>
    <t>Haywood Community College</t>
  </si>
  <si>
    <t xml:space="preserve">Isothermal Community College </t>
  </si>
  <si>
    <t>Johnston Community College</t>
  </si>
  <si>
    <t xml:space="preserve">Lenoir Community College </t>
  </si>
  <si>
    <t xml:space="preserve">Mitchell Community College </t>
  </si>
  <si>
    <t>Nash Community College</t>
  </si>
  <si>
    <t>Piedmont Community College</t>
  </si>
  <si>
    <t>Randolph Community College</t>
  </si>
  <si>
    <t>Richmond Community College</t>
  </si>
  <si>
    <t>Robeson Community College</t>
  </si>
  <si>
    <t xml:space="preserve">Rockingham Community College </t>
  </si>
  <si>
    <t>Rowan-Cabarrus Community College</t>
  </si>
  <si>
    <t>All</t>
  </si>
  <si>
    <t>AL</t>
  </si>
  <si>
    <t>State</t>
  </si>
  <si>
    <t>In-</t>
  </si>
  <si>
    <t>Out-of-</t>
  </si>
  <si>
    <t>Veterinary Medicine</t>
  </si>
  <si>
    <t>AR</t>
  </si>
  <si>
    <t>DE</t>
  </si>
  <si>
    <t>FL</t>
  </si>
  <si>
    <t>MD</t>
  </si>
  <si>
    <t>MS</t>
  </si>
  <si>
    <t>NC</t>
  </si>
  <si>
    <t>WV</t>
  </si>
  <si>
    <t>VA</t>
  </si>
  <si>
    <t>GA</t>
  </si>
  <si>
    <t>SC</t>
  </si>
  <si>
    <t>Undergraduate</t>
  </si>
  <si>
    <t>Graduate</t>
  </si>
  <si>
    <t>Osteopathic Medicine</t>
  </si>
  <si>
    <t>IPEDS</t>
  </si>
  <si>
    <t xml:space="preserve">Georgia State University </t>
  </si>
  <si>
    <t>University of Georgia</t>
  </si>
  <si>
    <t>Georgia Institute of Technology</t>
  </si>
  <si>
    <t>Georgia Southern University</t>
  </si>
  <si>
    <t>University of West Georgia</t>
  </si>
  <si>
    <t xml:space="preserve">Valdosta State University </t>
  </si>
  <si>
    <t xml:space="preserve">Albany State University </t>
  </si>
  <si>
    <t>Armstrong Atlantic State University</t>
  </si>
  <si>
    <t>Columbus State University</t>
  </si>
  <si>
    <t>Georgia College and State University</t>
  </si>
  <si>
    <t>Kennesaw State University</t>
  </si>
  <si>
    <t>Augusta State University</t>
  </si>
  <si>
    <t>Fort Valley State University</t>
  </si>
  <si>
    <t>Georgia Southwestern State University</t>
  </si>
  <si>
    <t>North Georgia College and State University</t>
  </si>
  <si>
    <t>Savannah State University</t>
  </si>
  <si>
    <t>Clayton State University</t>
  </si>
  <si>
    <t>Georgia Gwinnett College</t>
  </si>
  <si>
    <t xml:space="preserve">Macon State College </t>
  </si>
  <si>
    <t xml:space="preserve">Dalton State College </t>
  </si>
  <si>
    <t xml:space="preserve">Georgia Perimeter College </t>
  </si>
  <si>
    <t xml:space="preserve">Abraham Baldwin Agricultural College </t>
  </si>
  <si>
    <t xml:space="preserve">Darton College </t>
  </si>
  <si>
    <t xml:space="preserve">Gainesville State College </t>
  </si>
  <si>
    <t xml:space="preserve">Georgia Highlands College </t>
  </si>
  <si>
    <t xml:space="preserve">Gordon College </t>
  </si>
  <si>
    <t xml:space="preserve">Middle Georgia College </t>
  </si>
  <si>
    <t>Atlanta Metropolitan College</t>
  </si>
  <si>
    <t xml:space="preserve">Bainbridge College </t>
  </si>
  <si>
    <t>East Georgia College</t>
  </si>
  <si>
    <t xml:space="preserve">South Georgia College </t>
  </si>
  <si>
    <t xml:space="preserve">Waycross College </t>
  </si>
  <si>
    <t>Medical College of Georgia</t>
  </si>
  <si>
    <t>Southern Polytechnic State University</t>
  </si>
  <si>
    <t>Louisiana State University and A &amp; M College</t>
  </si>
  <si>
    <t xml:space="preserve">Louisiana Tech University </t>
  </si>
  <si>
    <t>University of Louisiana at Lafayette</t>
  </si>
  <si>
    <t>University of New Orleans</t>
  </si>
  <si>
    <t xml:space="preserve">Southeastern Louisiana University </t>
  </si>
  <si>
    <t xml:space="preserve">Southern University and A&amp;M College at Baton Rouge </t>
  </si>
  <si>
    <t>University of Louisiana at Monroe</t>
  </si>
  <si>
    <t>Grambling State University</t>
  </si>
  <si>
    <t>Louisiana State University in Shreveport</t>
  </si>
  <si>
    <t>McNeese State University</t>
  </si>
  <si>
    <t xml:space="preserve">Nicholls State University </t>
  </si>
  <si>
    <t>Northwestern State University</t>
  </si>
  <si>
    <t>Southern University at New Orleans</t>
  </si>
  <si>
    <t>Louisiana State University at Alexandria</t>
  </si>
  <si>
    <t xml:space="preserve">Delgado Community College </t>
  </si>
  <si>
    <t>Baton Rouge Community College</t>
  </si>
  <si>
    <t>Bossier Parish Community College</t>
  </si>
  <si>
    <t>Louisiana State University at Eunice</t>
  </si>
  <si>
    <t>Louisiana Delta Community College</t>
  </si>
  <si>
    <t>Nunez Community College</t>
  </si>
  <si>
    <t>River Parishes Community College</t>
  </si>
  <si>
    <t>South Louisiana Community College</t>
  </si>
  <si>
    <t>Southern University in Shreveport</t>
  </si>
  <si>
    <t>Sowela Technical Community College</t>
  </si>
  <si>
    <t>L.E. Fletcher Technical Community College</t>
  </si>
  <si>
    <t>Louisiana Technical College-Acadian Campus</t>
  </si>
  <si>
    <t>Louisiana Technical College-Alexandria Campus</t>
  </si>
  <si>
    <t>Louisiana Technical College-Ascension Campus</t>
  </si>
  <si>
    <t>Louisiana Technical College-Avoyelles Campus</t>
  </si>
  <si>
    <t>Louisiana Technical College-Bastrop Campus</t>
  </si>
  <si>
    <t>Louisiana Technical College-Baton Rouge Campus</t>
  </si>
  <si>
    <t>Louisiana Technical College-Charles B. Coreil Campus</t>
  </si>
  <si>
    <t>Louisiana Technical College-Delta/Ouachita Campus</t>
  </si>
  <si>
    <t>Louisiana Technical College-Evangeline Campus</t>
  </si>
  <si>
    <t>Louisiana Technical College-Florida Parishes Campus</t>
  </si>
  <si>
    <t>Louisiana Technical College-Folkes Campus</t>
  </si>
  <si>
    <t>Louisiana Technical College-Gulf Area Campus</t>
  </si>
  <si>
    <t>Louisiana Technical College-Hammond Area Campus</t>
  </si>
  <si>
    <t>Louisiana Technical College-Huey P. Long Campus</t>
  </si>
  <si>
    <t>Louisiana Technical College-Jefferson Campus</t>
  </si>
  <si>
    <t>Louisiana Technical College-Jumonville Memorial Campus</t>
  </si>
  <si>
    <t>Louisiana Technical College-Lafayette Campus</t>
  </si>
  <si>
    <t>Louisiana Technical College-Lafourche Campus</t>
  </si>
  <si>
    <t>Louisiana Technical College-Lamar Salter Campus</t>
  </si>
  <si>
    <t>Louisiana Technical College-Mansfield Campus</t>
  </si>
  <si>
    <t>Louisiana Technical College-Morgan Smith Campus</t>
  </si>
  <si>
    <t>Louisiana Technical College-Nachitoches Campus</t>
  </si>
  <si>
    <t>Louisiana Technical College-North Central Campus</t>
  </si>
  <si>
    <t>Louisiana Technical College-Northeast Louisiana Campus</t>
  </si>
  <si>
    <t>Louisiana Technical College-Northwest Louisiana Campus</t>
  </si>
  <si>
    <t>Louisiana Technical College-Oakdale Campus</t>
  </si>
  <si>
    <t>Louisiana Technical College-River Parishes Campus</t>
  </si>
  <si>
    <t>Louisiana Technical College-Ruston Campus</t>
  </si>
  <si>
    <t>Louisiana Technical College-Sabine Valley Campus</t>
  </si>
  <si>
    <t>Louisiana Technical College-Shelby M. Jackson Campus</t>
  </si>
  <si>
    <t>Louisiana Technical College-Shreveport/Bossier Campus</t>
  </si>
  <si>
    <t>Louisiana Technical College-Sidney N. Collier Campus</t>
  </si>
  <si>
    <t>Louisiana Technical College-Slidell Campus</t>
  </si>
  <si>
    <t>Louisiana Technical College-Sullivan Campus</t>
  </si>
  <si>
    <t>Louisiana Technical College-T.H. Harris Campus</t>
  </si>
  <si>
    <t>Louisiana Technical College-Tallulah Campus</t>
  </si>
  <si>
    <t>Louisiana Technical College-Teche Area Campus</t>
  </si>
  <si>
    <t>Louisiana Technical College-West Jefferson Campus</t>
  </si>
  <si>
    <t>Louisiana Technical College-Westside Campus</t>
  </si>
  <si>
    <t>Louisiana Technical College-Young Memorial Campus</t>
  </si>
  <si>
    <t>Louisiana State University Health Sciences Center - NO</t>
  </si>
  <si>
    <t>Louisiana State University Health Sciences Center - Shreveport</t>
  </si>
  <si>
    <t>University of Kentucky</t>
  </si>
  <si>
    <t>University of Louisville</t>
  </si>
  <si>
    <t xml:space="preserve">Eastern Kentucky University </t>
  </si>
  <si>
    <t xml:space="preserve">Murray State University </t>
  </si>
  <si>
    <t xml:space="preserve">Western Kentucky University </t>
  </si>
  <si>
    <t xml:space="preserve">Morehead State University </t>
  </si>
  <si>
    <t xml:space="preserve">Northern Kentucky University </t>
  </si>
  <si>
    <t xml:space="preserve">Kentucky State University </t>
  </si>
  <si>
    <t>Bluegrass Community and Technical College</t>
  </si>
  <si>
    <t xml:space="preserve">Jefferson Community and Technical College </t>
  </si>
  <si>
    <t>Ashland Community and Technical College</t>
  </si>
  <si>
    <t xml:space="preserve">Big Sandy Community and Technical College </t>
  </si>
  <si>
    <t xml:space="preserve">Elizabethtown Community and Technical College </t>
  </si>
  <si>
    <t>Hazard Community and Technical College</t>
  </si>
  <si>
    <t>Madisonville Community College</t>
  </si>
  <si>
    <t xml:space="preserve">Owensboro Community and Technical College </t>
  </si>
  <si>
    <t xml:space="preserve">Somerset Community and Technical College </t>
  </si>
  <si>
    <t>Southeast Kentucky Community and Technical College</t>
  </si>
  <si>
    <t>West Kentucky Community and Technical College</t>
  </si>
  <si>
    <t xml:space="preserve">Henderson Community College </t>
  </si>
  <si>
    <t xml:space="preserve">Hopkinsville Community College </t>
  </si>
  <si>
    <t xml:space="preserve">Maysville Community and Technical College </t>
  </si>
  <si>
    <t>Gateway Community and Technical College</t>
  </si>
  <si>
    <t>Bowling Green Technical College</t>
  </si>
  <si>
    <t>Mississippi State University</t>
  </si>
  <si>
    <t>University of Southern Mississippi</t>
  </si>
  <si>
    <t xml:space="preserve">Jackson State University </t>
  </si>
  <si>
    <t>University of Mississippi</t>
  </si>
  <si>
    <t>Alcorn State University</t>
  </si>
  <si>
    <t>Delta State University</t>
  </si>
  <si>
    <t>Mississippi University for Women</t>
  </si>
  <si>
    <t>Mississippi Valley State University</t>
  </si>
  <si>
    <t>University of Mississippi Medical Center</t>
  </si>
  <si>
    <t>Texas A &amp; M University</t>
  </si>
  <si>
    <t>Texas Tech University</t>
  </si>
  <si>
    <t>University of Houston</t>
  </si>
  <si>
    <t>University of North Texas</t>
  </si>
  <si>
    <t>University of Texas at Austin</t>
  </si>
  <si>
    <t>University of Texas at Dallas</t>
  </si>
  <si>
    <t>Texas Woman's University</t>
  </si>
  <si>
    <t>University of Texas at Arlington</t>
  </si>
  <si>
    <t>Angelo State University</t>
  </si>
  <si>
    <t>Lamar University</t>
  </si>
  <si>
    <t>Midwestern State University</t>
  </si>
  <si>
    <t>Prairie View A &amp; M University</t>
  </si>
  <si>
    <t xml:space="preserve">Sam Houston State University </t>
  </si>
  <si>
    <t>Stephen F. Austin State University</t>
  </si>
  <si>
    <t xml:space="preserve">Sul Ross State University </t>
  </si>
  <si>
    <t>Tarleton State University</t>
  </si>
  <si>
    <t>Texas A &amp; M - Commerce</t>
  </si>
  <si>
    <t>Texas A &amp; M University-Corpus Christi</t>
  </si>
  <si>
    <t>Texas A &amp; M University-Kingsville</t>
  </si>
  <si>
    <t>Texas Southern University</t>
  </si>
  <si>
    <t>Texas State University-San Marcos (previously Southwest Texas State University)</t>
  </si>
  <si>
    <t>University of Houston-Clear Lake</t>
  </si>
  <si>
    <t>University of Texas at El Paso</t>
  </si>
  <si>
    <t>University of Texas at San Antonio</t>
  </si>
  <si>
    <t>University of Texas at Tyler</t>
  </si>
  <si>
    <t>University of Texas-Pan American</t>
  </si>
  <si>
    <t>West Texas A &amp; M University</t>
  </si>
  <si>
    <t>Texas A &amp; M -Texarkana</t>
  </si>
  <si>
    <t>Texas A&amp;M International University</t>
  </si>
  <si>
    <t>University of Texas at Brownsville</t>
  </si>
  <si>
    <t>University of Texas of the Permian Basin</t>
  </si>
  <si>
    <t>Sul Ross State University-Rio Grande College</t>
  </si>
  <si>
    <t>228501B</t>
  </si>
  <si>
    <t>University of Houston-Downtown</t>
  </si>
  <si>
    <t>University of Houston-Victoria</t>
  </si>
  <si>
    <t>Texas A &amp; M University at Galveston</t>
  </si>
  <si>
    <t xml:space="preserve">Amarillo College </t>
  </si>
  <si>
    <t xml:space="preserve">Austin Community College </t>
  </si>
  <si>
    <t xml:space="preserve">Blinn College </t>
  </si>
  <si>
    <t>Brookhaven College  (DCCCD)</t>
  </si>
  <si>
    <t xml:space="preserve">Central Texas College </t>
  </si>
  <si>
    <t>Collin County Community College District</t>
  </si>
  <si>
    <t xml:space="preserve">Del Mar College </t>
  </si>
  <si>
    <t>Eastfield College  (DCCCD)</t>
  </si>
  <si>
    <t>El Paso County Community College District</t>
  </si>
  <si>
    <t>Houston Community College</t>
  </si>
  <si>
    <t xml:space="preserve">Laredo Community College </t>
  </si>
  <si>
    <t xml:space="preserve">McLennan Community College </t>
  </si>
  <si>
    <t xml:space="preserve">Navarro College </t>
  </si>
  <si>
    <t>North Lake College  (DCCCD)</t>
  </si>
  <si>
    <t>Northwest Vista College (ACCD)</t>
  </si>
  <si>
    <t>Palo Alto College (ACCD)</t>
  </si>
  <si>
    <t>Richland College  (DCCCD)</t>
  </si>
  <si>
    <t>San Antonio College (ACCD)</t>
  </si>
  <si>
    <t>San Jacinto College</t>
  </si>
  <si>
    <t xml:space="preserve">South Plains College </t>
  </si>
  <si>
    <t>South Texas College</t>
  </si>
  <si>
    <t>St. Philip's College  (ACCD)</t>
  </si>
  <si>
    <t>Tarrant County College</t>
  </si>
  <si>
    <t xml:space="preserve">Texas Southmost College </t>
  </si>
  <si>
    <t xml:space="preserve">Tyler Junior College </t>
  </si>
  <si>
    <t xml:space="preserve">Alvin Community College </t>
  </si>
  <si>
    <t xml:space="preserve">Angelina College </t>
  </si>
  <si>
    <t xml:space="preserve">Brazosport College </t>
  </si>
  <si>
    <t>Cedar Valley College  (DCCCD)</t>
  </si>
  <si>
    <t>Cisco College</t>
  </si>
  <si>
    <t>Coastal Bend College</t>
  </si>
  <si>
    <t>College of the Mainland</t>
  </si>
  <si>
    <t>El Centro College  (DCCCD)</t>
  </si>
  <si>
    <t xml:space="preserve">Grayson County College </t>
  </si>
  <si>
    <t>Hill College</t>
  </si>
  <si>
    <t>Howard College (HCJCD)</t>
  </si>
  <si>
    <t xml:space="preserve">Kilgore College </t>
  </si>
  <si>
    <t>Lamar Institute of Technology</t>
  </si>
  <si>
    <t xml:space="preserve">Lee College </t>
  </si>
  <si>
    <t xml:space="preserve">Midland College </t>
  </si>
  <si>
    <t>Mountain View College (DCCCD)</t>
  </si>
  <si>
    <t>North Central Texas Community College</t>
  </si>
  <si>
    <t xml:space="preserve">Odessa College </t>
  </si>
  <si>
    <t>Paris Junior College</t>
  </si>
  <si>
    <t xml:space="preserve">Southwest Texas Junior College </t>
  </si>
  <si>
    <t xml:space="preserve">Temple College </t>
  </si>
  <si>
    <t xml:space="preserve">Texarkana College </t>
  </si>
  <si>
    <t xml:space="preserve">Texas State Technical College-Harlingen </t>
  </si>
  <si>
    <t>Texas State Technical College-Waco</t>
  </si>
  <si>
    <t>Trinity Valley Community College</t>
  </si>
  <si>
    <t xml:space="preserve">Vernon College </t>
  </si>
  <si>
    <t xml:space="preserve">Victoria College </t>
  </si>
  <si>
    <t xml:space="preserve">Weatherford College </t>
  </si>
  <si>
    <t xml:space="preserve">Wharton County Junior College </t>
  </si>
  <si>
    <t xml:space="preserve">Clarendon College </t>
  </si>
  <si>
    <t xml:space="preserve">Frank Phillips College </t>
  </si>
  <si>
    <t xml:space="preserve">*In Virginia community colleges, mandatory fees for 2008-09 vary from no fee up to $551 per academic year, and are not included. </t>
  </si>
  <si>
    <t>State Agency</t>
  </si>
  <si>
    <t>Who has the authority to set tuition and fee rates and establish policies?</t>
  </si>
  <si>
    <t>What method or guideline is used to set tuition rates?</t>
  </si>
  <si>
    <t>Are tuition and fee rates stair-stepped or by the credit hour?</t>
  </si>
  <si>
    <t>Alabama Commission on Higher Education</t>
  </si>
  <si>
    <t>Boards of Trustees of individual institutions are solely empowered to establish tuition and fees. Legislation provides guidelines for common student classifications and requirements for non-resident tuition rates.</t>
  </si>
  <si>
    <t>Boards of Trustees of the institutions set rates based on expected enrollment and needed revenue. Legislation requires that non-resident tuition be no less than twice the resident tuition charge.</t>
  </si>
  <si>
    <t>Varies by institution, no statewide policy.</t>
  </si>
  <si>
    <t>Individual institutions may decide based on legislative guidelines. The guidelines allow institutions to extend resident tuition rates to students who reside in any county within 50-miles of a campus of the institution.</t>
  </si>
  <si>
    <t>Arkansas Department of Higher Education</t>
  </si>
  <si>
    <t>Higher Education Coordinating Board sets tuition and fee revenue expectations; institutions and local boards determine amount of tuition.</t>
  </si>
  <si>
    <t>No statewide policy. Resident tuition target is 25%-30% of instructional cost; non-resident tuition should be 3 times the resident rate.</t>
  </si>
  <si>
    <t>By credit hour.</t>
  </si>
  <si>
    <t>Not by policy. Higher Education Coordinating Board sets tuition and fee expectations. If non-resident fee is waived, institution foregoes that revenue. Non-resident fees are waived for students in the SREB Academic Common Market program.</t>
  </si>
  <si>
    <t>Institutional boards of trustees are solely empowered to establish tuition and fees.</t>
  </si>
  <si>
    <t>Individual institutions set rates based on expected enrollment and anticipated revenue.</t>
  </si>
  <si>
    <t>Individual institutions set policies. Non-resident fees are waived for students in the SREB Academic Common Market program.</t>
  </si>
  <si>
    <t>Board of Governors of the State University System of Florida</t>
  </si>
  <si>
    <t>The Board of Governors has asserted its authority to set tuition and fees, but the Legislature has not conceded that authority.  The issue is currently in litigation.</t>
  </si>
  <si>
    <t>Historically, in-state undergraduate tuition has been set at 25% of the cost of instruction, with out-of-state students paying the full cost.  However,  in the last three years, in-state students have been paying more than 30% of the cost of instruction. In 2009, the Legislature changed the statute related to tuition authority, expanding a systemwide tuition differential, which university boards of trustees set each year with the approval of the Board of Governors.</t>
  </si>
  <si>
    <t>With the exception of a few block-rate fees, most (including tuition) are by the credit hour.</t>
  </si>
  <si>
    <t>Each university board of trustees has the authority to waive tuition for purposes which support &amp; enhance the mission of the university. The waivers must be based on policies adopted by the boards of trustees. There are also statutes and regulations related to reclassification of nonresident students as residents and a provision for charging in-state rates to non-resident graduate assistants.</t>
  </si>
  <si>
    <t xml:space="preserve">No statewide policy. </t>
  </si>
  <si>
    <t>The University System of Georgia</t>
  </si>
  <si>
    <t>Georgia Board of Regents</t>
  </si>
  <si>
    <t>Technical College System of Georgia</t>
  </si>
  <si>
    <t>State Board of Technical and Adult Education</t>
  </si>
  <si>
    <t xml:space="preserve">The Commissioner is authorized to approve exceptions to the tuition policy for out of state residence students, provided:
(i) A written application is submitted by the institution.
(ii) There is evidence of a written reciprocity agreement with appropriate institutions in the adjoining state.
(iii) No reciprocity arrangement shall reduce the costs of tuition fees for an out-of-state student to less than that paid by residents of Georgia.
Non-resident tuition may be waived, normally on a quarter-by-quarter basis, for an international student by the Technical College President. Provided however, the number of such waivers shall not exceed two percent of the head count of student enrollment at the Technical College in the immediately preceding Fall Quarter. Any non-resident student receiving a tuition waiver shall pay the in-state tuition rate, but is not eligible for the HOPE program. </t>
  </si>
  <si>
    <t>Kentucky Council on Postsecondary Education</t>
  </si>
  <si>
    <t xml:space="preserve">For specified groups including military personnel and their dependents, survivors of firefighters or police officers killed in line of duty, foster and adopted children, postsecondary faculty and staff, and people over age 65. </t>
  </si>
  <si>
    <t>Louisiana Board of Regents</t>
  </si>
  <si>
    <t>Board of Regents funding policy targets SREB average rates for both state supoort and tuition and mandatory fee support, by category of institution.  However, resident tuition and fee rates as established by the management boards must be approved the the Legislature.  Non-resident tuition and fees are currently authorized to be set at the average SREB rate, by category of school, excluding Louisiana.</t>
  </si>
  <si>
    <t>Both.</t>
  </si>
  <si>
    <t>Generally, rates increase by student credit hour up to a full-time maximum.</t>
  </si>
  <si>
    <t>institutional or management board system policies - none at the Board of Regents</t>
  </si>
  <si>
    <t>Maryland Higher Education Commission</t>
  </si>
  <si>
    <t>Individual institution governing boards.</t>
  </si>
  <si>
    <t>No statewide policy. USM and MSU have policy that resident tuition and fees be set between 30-45% of the cost of education. Nonresident tuition and fees should be at least 100% of cost of education.</t>
  </si>
  <si>
    <t>No.</t>
  </si>
  <si>
    <t>Non-resident fees are waived for students in the SREB Academic Common Market program. No other statewide policy.</t>
  </si>
  <si>
    <t>University System of Maryland</t>
  </si>
  <si>
    <t xml:space="preserve">No statewide policy.  USM undergraduate tuition within an institution should not vary by discipline or cohort, except for the professional schools at the University of Maryland, Baltimore.  USM non-resident undergraduate students should pay an additional </t>
  </si>
  <si>
    <t>St. Mary's College of Maryland</t>
  </si>
  <si>
    <t>No specific policy</t>
  </si>
  <si>
    <t>Mississippi Board of Trustees of State
Institutions of Higher Learning</t>
  </si>
  <si>
    <t>Board sets tuition rates that are variable by institution. Total non-resident tuition should be no less than the system average amount appropriated per student for education and general expenses.</t>
  </si>
  <si>
    <t>Credit hour up to 12 hours. Single rate for 12-19 hours.  Credit hour over 19 hours.</t>
  </si>
  <si>
    <t xml:space="preserve">Board policy allows individual institutions to determine fee waiver amounts. These are usually called "scholarships" or grants. Policy also allows institutions to waive the non-resident portion of fees for children of alumni who meet certain academic criteria, students on athletic scholarships, and graduate students with assistantships. Non-resident fees are waived for students in the SREB Academic Common Market program. </t>
  </si>
  <si>
    <t>Mississippi State Board for Community and Junior Colleges</t>
  </si>
  <si>
    <t>Local Boards of Trustees</t>
  </si>
  <si>
    <t>Local boards set general tuition and required fees based on the level of state resources for educational and supportive services. Local Boards are also authorized to prescribe the amount of fees for non-resident tuition provided that total fees for non-residents shall not be less than the average cost per student from state appropriated funds.</t>
  </si>
  <si>
    <t>Full-time students are charged a set amount of tuition and fees. Part-time students are charged a per semester credit hour amount.</t>
  </si>
  <si>
    <t>State statutes do not allow for tuition waivers, reductions or remissions of out-of-state fees.</t>
  </si>
  <si>
    <t>North Carolina Community College System</t>
  </si>
  <si>
    <t>Tuition based on budgetary needs of the system. Out-of-state students at community colleges pay the full cost of instruction.</t>
  </si>
  <si>
    <t>Fee waivers are established by the General Assembly and the State Board of Community Colleges. Special policies are established for military personnel and dependents. Out-of-state military personnel on education assistance pay in-state tuition rates; the military branch is billed for the difference between in-state and out-of-state rates. Military dependents are charged the in-state rates. Legal residents of North Carolina who have attained the age of 65 shall be permitted to attend classes for credit or non-credit purposes without the required payment of tuition.</t>
  </si>
  <si>
    <t>University of North Carolina General Administration</t>
  </si>
  <si>
    <t>University Board of Governors</t>
  </si>
  <si>
    <t>Stair-stepped; rates vary by institution.</t>
  </si>
  <si>
    <t>Tuition remissions are budgeted as line items for each institution based on level of study (graduate or undergraduate). Students receiving remissions must also be recipients of scholarships or grants for special talent, or a fellowship or assistantship in the case of graduate students. Exemptions are also granted to active-duty military personnel and their dependents (who are reported as in-state residents).</t>
  </si>
  <si>
    <t>Oklahoma State Regents for Higher Education</t>
  </si>
  <si>
    <t>State Board of Regents within limits prescribed by the Legislature.</t>
  </si>
  <si>
    <t>Per credit hour rates.</t>
  </si>
  <si>
    <t>Policy permits individual institutions to waive tuition at their discretion but they then forego that revenue. Non-resident fees are waived for students in the SREB Academic Common Market program. No other statewide policy.</t>
  </si>
  <si>
    <t>Oklahoma Department of Career and Technology Education</t>
  </si>
  <si>
    <t>Determined by the local Technology Center Board of Education.</t>
  </si>
  <si>
    <t>Varies by school.</t>
  </si>
  <si>
    <t>Varies by program by school.</t>
  </si>
  <si>
    <t>Tuition for secondary students not residing in any Technology Center district is determined by the Oklahoma Department of Career and Technology Education.</t>
  </si>
  <si>
    <t>South Carolina Commission on Higher Education</t>
  </si>
  <si>
    <t xml:space="preserve">Individual institution boards. </t>
  </si>
  <si>
    <t>No statewide policy.</t>
  </si>
  <si>
    <t>Each institution establishes its policies. The number of waivers must be reported to the Commission on Higher Education. Waivers are limited to 4% of the undergraduate student body.  These are in addition to the waivers which are specifically provided for in law which include military personnel and their dependents, employees and their dependents, retired employees and their dependents, students participating in the SREB Academic Common Market, students receiving fellowships, students with scholarships approved by Board of Trustees, students falling under reciprocity agreements approved by the General Assembly, non-resident aliens in approved VISA classifications and all graduate assistants.</t>
  </si>
  <si>
    <t>Tennessee Higher Education Commission</t>
  </si>
  <si>
    <t>Individual boards using guidelines of Higher Education Commission</t>
  </si>
  <si>
    <t>Texas Higher Education Coordinating Board</t>
  </si>
  <si>
    <t>The Texas Legislature. There are two types of tuition.  Statutory tuition, which must be charged by universities, is currently set by the Legislature at $50 per semester credit hour.  The Legislature delegated authority to the Governing Boards and Boards of Trustees of Universities to levy an optional charge for tuition, referred to as designated tuition, starting in January, 2004.  Maximum designated tuition rates were previously limited by the Legislature to the rate set by the Legislature for statutory tuition.</t>
  </si>
  <si>
    <t xml:space="preserve"> The Texas Legislature sets rates for mandatory, or statutory tuition.  Beginning in January, 2004, the Legislature delegated to governing boards the authority to set rates for a portion of tuition known as designated tuition (deregulated), with the requirement that a percentage of funds received from charges exceeding $46 per SCH be set aside for financial aid programs.                                            Tuition at community colleges is set by Boards of Trustees based on a minimum set by the legislature.  Community colleges may not charge designated tuition.</t>
  </si>
  <si>
    <t xml:space="preserve">Most tuition is set on a per SCH basis, however with the deregulation of designated tuition in January 2004, some institutions are offering flat rate tuition or offering lower tuition rates for courses taken at off-peak hours. Other institutions are providing a tuition rate set at the rate charged when the student entered as long as certain requirements are met. </t>
  </si>
  <si>
    <t>State Council of Higher Education for Virginia</t>
  </si>
  <si>
    <t>Boards of Visitors at individual institutions.</t>
  </si>
  <si>
    <t>Language contained in the Appropriation Act states that the Boards of Visitors may set tuition and fee charges at the levels they deem to be appropriate for all student groups based on, but not limited to, competitive market rates. Out-of-state student charges shall not be less than 100 percent of the average cost of education, unless an exception is granted. In addition, in setting tuition and fee charges, institutions shall take into consideration of the appropriate student share of costs associated with the base funding, salary increases and other priorities set forth in the Act.
Virginia has a 63/37 fund share policy in funding institutions' base operations. Institutions can set the tuition increases based on its share of the estimated needs. In addition, in order to make colleges affordable, the General Assembly required institutions to limit the tuition increases to in-state undergraduate students to no more than 6% in 2007-08. Institutions are allowed to exceed this limit if the additional revenue is used solely for in-state undergraduate financial aid.</t>
  </si>
  <si>
    <t>The pricing structure is determined by the individual boards. Most institutions use a flat rate for full-time students taking up to 15-18 hours a semester. Currently, only 3 four-year institutions and the community college system use a cost per credit hour structure for all students.</t>
  </si>
  <si>
    <t xml:space="preserve">Public four-year institutions may award unfunded scholarships to non-Virginia residents in an amount not to exceed the out-of-state differential in tuition and fees. The number and value of awards may not exceed 20% of the enrollment of non-Virginia students during the preceding year. Graduate students must be awarded assistantships. Non-resident fees are waived for students in the SREB Academic Common Market program. </t>
  </si>
  <si>
    <t xml:space="preserve">West Virginia Higher Education Policy Commission and the WV Council for Community &amp; Technical College Education </t>
  </si>
  <si>
    <t>Institutional governing boards with final approval of the West Virginia Higher Education Policy Commission and the WV Council for Community &amp; Technical College Education.</t>
  </si>
  <si>
    <t xml:space="preserve">Each institutional governing board reviews and approves student tuition and fees. Fees require further approval by the  West Virginia Higher Education Policy Commission, and the WV Council for Community &amp; Technical College Education relying on compact reviews and state code guidelines. Non-residents should pay 100% of instructional costs. </t>
  </si>
  <si>
    <t xml:space="preserve">By the credit hour, but capped at 12 credit hours for undergraduate students and 9 credit hours for graduate students. </t>
  </si>
  <si>
    <t>Institutionally determined within 5% - 10% limit (i.e., the number of waivers should equal 5% - 10% of the FTE undergraduate enrollment of the institution for the fall term of the immediately preceding academic year); however, this would apply to both resident and non-resident students. Metro fees exist for non-resident students in selected counties in bordering states. There is a statute on reciprocity which guides the development of agreements, but no policy per se. (Cross reference question on reciprocity.) Non-resident fees are waived for students in the SREB Academic Common Market program.</t>
  </si>
  <si>
    <t>Are there caps or limits placed on non-resident enrollment?</t>
  </si>
  <si>
    <t>Are there tuition reciprocity agreements? Please describe.</t>
  </si>
  <si>
    <t>Do you participate in the SREB Academic Common Market?</t>
  </si>
  <si>
    <t>To what extent must tuition and fee revenue be devoted to capital funding? Are there other sources of capital funding?</t>
  </si>
  <si>
    <t>Is there a special electronic delivery tuition rate distinguished from regular in-state and out-of-state rates?</t>
  </si>
  <si>
    <t>Individual institutions set limits, if any.</t>
  </si>
  <si>
    <t>Yes.</t>
  </si>
  <si>
    <t xml:space="preserve">There are no state guidelines on this matter. Alabama has no state appropriation specifically for capital expenditures, therefore institutions must use tuition &amp; fee revenue to fund capital expenditures or find their on source of funding, including floating their own bond issues. </t>
  </si>
  <si>
    <t>Not necessarily. Varies by institution.</t>
  </si>
  <si>
    <t>No limits.</t>
  </si>
  <si>
    <t>Tuition reciprocity agreement w/TX (for Bowie CC/TX)</t>
  </si>
  <si>
    <t>No set policy. Other funding sources are general improvemenet funds and local taxes.</t>
  </si>
  <si>
    <t>Yes. Varies by institution.</t>
  </si>
  <si>
    <t>Board of Governors rules limit system wide enrollment to 10% out-of-state, with no cap on individual universities.</t>
  </si>
  <si>
    <t>No reciprocity agreements, but UWF charges a reduced non-resident tuition to students whose residence is in AL counties within 50 miles of the FL border.   In addition, there is a provision in 1009.24, Florida Statutes which states a university "that has a service area that borders another state may implement a plan for a differential out-of-state fee." The UNF will begin charging a reduced non-resident tuition to GA students.</t>
  </si>
  <si>
    <t>Yes (graduate only).</t>
  </si>
  <si>
    <t xml:space="preserve">Part of the required fees assessed against each credit hour are two building fees which together amount to $4.76 per credit hour. No other part of the tuition and required fees is devoted to capital funding. </t>
  </si>
  <si>
    <t>Not applicable.</t>
  </si>
  <si>
    <t>The statute for Capital Improvement Fees was changed to increase the resident rate from the  rate of $1 per credit hour to not exceeding 10% of tuition.  The nonresident portion was increased from a rate of $3 per credit hour to not exceeding 10% of the sum of the tuition and out of state fees. Legislation also provided that bonds be issued from Capital Improvement Fee revenues by the Division of Bond Finance.  The capital improvement fee must be dedicated.  The major source of capital funding is Public Education Outlay Fund (PECO), which is funded by the gross receipt tax.</t>
  </si>
  <si>
    <t xml:space="preserve">In accordance with the policy approved in April 2001, allowing research universities to request increases in out-of-state tuition rates to the levels of peer or benchmark institutions, the understanding is that the proportion of out-of-state students not be increased at the research universities. </t>
  </si>
  <si>
    <t>There is no formal policy that requires use of tuition and fee revenue for capital funding. State general obligation bonds, major repair and rehabilitation funds (formula-generated), auxiliary enterprise funds, indirect cost recoveries and interest income from investments are other sources of capital funding.</t>
  </si>
  <si>
    <t>Non-resident students admitted on a space available basis.</t>
  </si>
  <si>
    <t>There is no requirement that specific tuition and fee revenue be devoted to capital funding.  Most commonly, capital funding is appropriated through state bond issues approved by the legislature as a part of the annual budget.</t>
  </si>
  <si>
    <t>Reciprocity agreements are in effect with TN, OH, WV, IL, and IN for residents of specific counties and for specific institutions.</t>
  </si>
  <si>
    <t>There is no system wide policy relating to restricting all or a portion of tuition and fees revenue to capital projects. The state provides support for E&amp;G capital projects approved by the General Assembly.</t>
  </si>
  <si>
    <t>Some institutions differentiate on-line rates.</t>
  </si>
  <si>
    <t>Specific institutions have established tuition reciprocity agreements.</t>
  </si>
  <si>
    <t xml:space="preserve">There are no general state statutes or Board policies that require tuition and fee revenues to be devoted to capital funding. Certain fees authorized by the Legislature for individual institutions have been specifically dedicated for facility use and maintenance. Other sources of capital funding are: general obligation bonds, "Third-party" issued bonds secured with state appropriations or self-generated revenue, donations, and self-generated from Federal grants/contracts.  </t>
  </si>
  <si>
    <t>No statewide policy. Varies by institution.</t>
  </si>
  <si>
    <t>Yes.  There are tuition reciprocity agreements between community colleges in Western Maryland with institutions in bordering states, West Virginia and Pennsylvania.</t>
  </si>
  <si>
    <t>None. Capital funding is derived through a combination of Academic Revenue Bonds, Auxiliary Revenue Bonds, and the Maryland Consolidated Capital Bond Loan.</t>
  </si>
  <si>
    <t>USM policy states that the proportion of out-of-state undergraduate students in any institution, excluding University of Maryland University College, shall not exceed 30 percent of its total undergraduate student body.</t>
  </si>
  <si>
    <t>USM pledges tuition revenue for Academic Revenue and auxiliary  revenue in support of Auxiliary Facility Revenue Bonds</t>
  </si>
  <si>
    <t>There are no formal tuition reciprocity agreements in force.</t>
  </si>
  <si>
    <t>No restrictions placed on tuition and fee revenue.</t>
  </si>
  <si>
    <t>Varies-set by institutions.</t>
  </si>
  <si>
    <t>No limits. However, out-of-state enrollment has not exceeded 2.7% over the past five years.</t>
  </si>
  <si>
    <t>Tuition and fee revenue, for the most part, is used for operations. Mississippi Code establishes a floor of 1 mill and a ceiling of 3 mills that must be provided by counties to their assigned community college district for capital improvements.</t>
  </si>
  <si>
    <t>No statewide policies.</t>
  </si>
  <si>
    <t>No statewide policies</t>
  </si>
  <si>
    <t>Nonresident admissions limited to 18% of first-time freshmen at each institution with the exceptions of North Carolina School of the Arts (50%) and the engineering program at North Carolina Agricultural &amp; Technical State University.</t>
  </si>
  <si>
    <t>Not reported.</t>
  </si>
  <si>
    <t>Generally all tuition and fee revenue is devoted to operating expenses. There are other sources used for capital improvements.</t>
  </si>
  <si>
    <t>Most technology centers have tuition reciprocity agreements.</t>
  </si>
  <si>
    <t>Not Applicable.</t>
  </si>
  <si>
    <t>There is no requirement.  Tuition and Fees Revenue is typically devoted to operating expenses.</t>
  </si>
  <si>
    <t>Institutions must report annually to CHE its actual in-state/out-of-state student mix and its optimum student mix.</t>
  </si>
  <si>
    <t xml:space="preserve">There is no requirement that a certain portion of tuition and fee revenue be devoted to capital funding. However, the percentages of tuition allocated by the institutions to debt service and capital expenditures range from 2% to more than 11%. All public institutions in SC are eligible to receive capital improvement bond funding and other state funds for capital items. Technical colleges also receive local funds for capital expenditures. </t>
  </si>
  <si>
    <t>No enrollment cap for 4-year institutions.</t>
  </si>
  <si>
    <t xml:space="preserve">Reciprocity agreements with specific counties in KY, GA, AL, AR, MO, VA, MS and NC exist for particular TN institutions. </t>
  </si>
  <si>
    <t>No limits except in the medical, dental, and law programs, which limit non-resident enrollment to no more than 10%.</t>
  </si>
  <si>
    <t xml:space="preserve">Formal reciprocity agreements are in effect for some institutions. Agreements are between some Texas institutions and those in neighboring states or foreign countries. </t>
  </si>
  <si>
    <t>When institutions are authorized to issue tuition revenue bonds, they pledge all or a portion of their tuition revenue to repayment of those bonds, which are used for capital projects. The Texas Legislature provides general revenue to either partially or fully replace the tuition revenue used in debt service on those bonds.. When institutions issue revenue bonds for capital projects and use designated tuition as a source of funds, they are obligated to use those funds to provide debt service, unless the Legislature provides an appropriation for that purpose. Institutions are allowed to create separate financing systems for each university system, within which university systems may issue bonds and pledge all or any part of revenue funds available for debt service (including fee revenue) of the entire university system for repayment. The Texas Constitution provides two other major sources of funding for capital projects.  The funding mechanisms differ.  Funds made available through these two  programs are informally referred to as "HEAF" and "PUF" funds.</t>
  </si>
  <si>
    <t>Not in statute.</t>
  </si>
  <si>
    <t>Language contained in the Appropriation Act states that institutional boards of visitors shall not increase the current proportion of nonresident undergraduate students if an institution's nonresident undergraduate enrollment exceeds 25%.</t>
  </si>
  <si>
    <t>Students attending the University of Virginia's College at Wise who live in Kentucky, within 50 miles of the campus, are eligible for in-state tuition. Out-of-state students attending college through a special arrangement contract between an institution and an employer can be eligible for reduced rates.</t>
  </si>
  <si>
    <t>A capital fee is charged to out-of-state students for debt service on bonds issued under the 21st Century Program. However, in general, there are no guidelines or formula relating to student revenue and capital funding. The amount of fee revenue set aside for capital projects or debt service varies by institution. Virginia funds capital outlay projects through state (general fund) appropriations, non-general fund (student revenue, gifts and grants, contributions by localities, etc.) appropriations and state bonding.</t>
  </si>
  <si>
    <t>Yes, some institutions have been authorized to establish a self-supporting "instructional enterprise" fund to account for revenue and expenditures of distance education classes offered to students outside the state. Student tuition and fee revenues for distance education students at out-of-state locations must exceed all direct and indirect instructional costs.</t>
  </si>
  <si>
    <t>There are tuition reciprocity agreements involving selected counties and institutions in KY, OH, MD, and VA.</t>
  </si>
  <si>
    <t xml:space="preserve">There is a required system capital fee component included within the required tuition and fees. This fee is required for debt service and capital expenditures. </t>
  </si>
  <si>
    <t>There is no special/unique rate.</t>
  </si>
  <si>
    <t>Mid-Year Increases in Tuition and Required Fees</t>
  </si>
  <si>
    <t>Four-Year Universities</t>
  </si>
  <si>
    <t>Technical Institute</t>
  </si>
  <si>
    <t>Two-Year College</t>
  </si>
  <si>
    <t>or College</t>
  </si>
  <si>
    <t>In-State</t>
  </si>
  <si>
    <t>Out-of-State</t>
  </si>
  <si>
    <t>none</t>
  </si>
  <si>
    <t>—</t>
  </si>
  <si>
    <t>NA</t>
  </si>
  <si>
    <t>"NA" indicates not applicable. There is no institution of this type in the state.</t>
  </si>
  <si>
    <r>
      <t>"</t>
    </r>
    <r>
      <rPr>
        <sz val="8"/>
        <rFont val="Arial"/>
        <family val="2"/>
      </rPr>
      <t>—</t>
    </r>
    <r>
      <rPr>
        <sz val="8"/>
        <rFont val="Arial"/>
        <family val="2"/>
      </rPr>
      <t>" indicates not reported.</t>
    </r>
  </si>
  <si>
    <t>Tuition rates are set annually by the Board of Governors (BOG) and reviewed/affirmed by the North Carolina General Assembly when it adopts the state's budget. Recommendations for increases in resident tuition rates are made to the BOG through an extensive collaborative process involving all of the constituent institutions and a review of relevant external indices (CPI, HEPI, NCPCPI). Increases in graduate tuition further reflect the increased costs of graduate education over undergraduate education. Nonresident tuition is set in accord with state law that requires comparability with peer institutions nationwide. Institutions may further request that the BOG approve institution-specific increases, either for all students or for students in specific programs. In addition to the BOG tuition and fees policy, the Board adopted a four-year plan to establish tuition and fee rates for resident undergraduate students. Rate increases cannot exceed 6.5% for the next four years for undergraduate resident students. In addition, undergraduate resident tuition and fee rates must remain in the lowest quarter of their peer institutions. Nonresident undergraduate tuition and fee rates cannot exceed the third quarter of their peer institutions.</t>
  </si>
  <si>
    <t>Public Four-Year Institutions, 2009-10</t>
  </si>
  <si>
    <t>Public Two-Year Colleges and Technical Institutes or Colleges, 2009-10</t>
  </si>
  <si>
    <t>Public Institutions, 2009-10</t>
  </si>
  <si>
    <t>Tuition and Related Policies, SREB States, 2009-10</t>
  </si>
  <si>
    <t>2009-10</t>
  </si>
  <si>
    <t>Enterprise-Ozark Community College</t>
  </si>
  <si>
    <t>State College of Florida, Manatee-Sarasota</t>
  </si>
  <si>
    <t>Georgia Northwestern Technical College</t>
  </si>
  <si>
    <t>College of Southern Maryland</t>
  </si>
  <si>
    <t>N/A</t>
  </si>
  <si>
    <t>Caldwell Community College &amp; Technical Institute</t>
  </si>
  <si>
    <t>Northeast Technology Center-Claremore</t>
  </si>
  <si>
    <t>NEW</t>
  </si>
  <si>
    <t>14</t>
  </si>
  <si>
    <t xml:space="preserve">Spartanburg Community College </t>
  </si>
  <si>
    <t>Lone Star College System District</t>
  </si>
  <si>
    <t>TEXAS A&amp;M UNIV-CENTRAL TEXAS</t>
  </si>
  <si>
    <t>???</t>
  </si>
  <si>
    <t>TEXAS A&amp;M UNIV-SAN ANTONIO</t>
  </si>
  <si>
    <t>UNIV. OF NORTH TEXAS AT DALLAS</t>
  </si>
  <si>
    <t>Bridgemont Community &amp; Technical College</t>
  </si>
  <si>
    <t>Kanawha Valley Community &amp; Technical College</t>
  </si>
  <si>
    <t>Are there policies on the relation between in-state and out-of-state tuition rates?</t>
  </si>
  <si>
    <t>Alabama Statutes, Section 16-64-4(a): “Each Alabama public institution of higher education shall charge each undergraduate student who is registered as a nonresident a minimum tuition of two times the resident tuition rate charged by that institution. This rate shall be effective for students who register at an institution beginning August 1, 1997. A nonresident graduate student at an institution shall be charged a rate of tuition that is at least at the level of tuition charged to a nonresident undergraduate.”</t>
  </si>
  <si>
    <t>No. Out-of-state tuition must defray at least 100% of cost.</t>
  </si>
  <si>
    <t>Florida College System</t>
  </si>
  <si>
    <t>No.  The tuition and out-of-state tuiion is determined and set by the Legislature in the General Appropriations Act.  Each Florida college board of trustees shall establish tuition and out-of-state fees, which may vary no more than 10 percent below and 15 percent above the combined total of the standard tuition and fees established in 1009.23(3)(a), Florida Statutes.</t>
  </si>
  <si>
    <t xml:space="preserve">Yes.  In accordance with Section 1009.23(16)(a), each college may assess a student who enrolls in a course listed in the Florida Higher Education Distance Learning Catalog, a per-credit-hour distance learning course user fee.  For purposes of assessing this fee, a distance learning course is a course in which at least 80 percent of the direct instruction of the course is delivered using some form of technology when the student and instructor are separated by time or space, or both. </t>
  </si>
  <si>
    <t xml:space="preserve">Tuition requirements are in administrative policy, rather than statute. 7.3.1.1 of the University System of Georgia Board of Regents’ Policy Manual: “[out-of-state-tuition is set at] a rate that is at least four (4) times the tuition rate charged to Georgia residents. USG research universities may request increases in out-of-state tuition rates based upon the tuition levels of peer or comparable institutions.”
</t>
  </si>
  <si>
    <t>Nonresident undergraduate tuition and fees must be at least two times the resident undergraduate rate. Institutions may request Council approval for exceptions to this policy.</t>
  </si>
  <si>
    <t>No Statewide Policy</t>
  </si>
  <si>
    <t xml:space="preserve">Non-resident undergraduate students should pay an additional amount of tuition which at a minimum offsets the State's contribution intended to subsidize the education of its residents and institutions are encouraged to set tuition for non-resident undergraduate students at market level. Based on compelling reasons, institutions may seek an exception to this policy. </t>
  </si>
  <si>
    <t>No</t>
  </si>
  <si>
    <t>Non-resident tuition is evaluated against the cost of education.</t>
  </si>
  <si>
    <t xml:space="preserve">No specific pledge of tuition revenue to capital funding. A portion of the mandatory fee  is the facility fee which goes directly to the plant fund.  Additional amounts are budgeted as transfers from the operating fund to the plant fund to support renewal and replacement, operating fund revenues consist of tuition and fees, state support and auxiliaries. We have typically raised the room rate which is an auxiliary revenue to support the transfer to the plant fund however it is all operating fund revenue. </t>
  </si>
  <si>
    <t xml:space="preserve">Mississippi Statutes §37-103-25(2): “the total tuition to be paid by residents of other states shall not be less than the average cost per student from appropriated funds.” </t>
  </si>
  <si>
    <t xml:space="preserve">North Carolina statutes §116 144: “The Board of Governors shall fix the tuition and required fees charged nonresidents of North Carolina… at rates higher than the rates charged residents of North Carolina and comparable to the rates charged nonresident students by comparable public institutions nationwide”.
</t>
  </si>
  <si>
    <t>Yes, varies by institution.</t>
  </si>
  <si>
    <t>State funds shall not be used to provide undergraduate out-of-state subsidies to students attending state-supported public institutions of higher learning, as defined in Section 59-103-5.</t>
  </si>
  <si>
    <t>Yes. Direct state appropriations are made for major capital maintenance and new capital outlay projects.</t>
  </si>
  <si>
    <t>Texas Education Code Section 54.051(d): “tuition for a nonresident student at a general academic teaching institution or medical and dental unit is an amount per semester credit hour equal to the average of the nonresident undergraduate tuition charged to a resident of this state at a public state university in each of the five most populous states other than this state”</t>
  </si>
  <si>
    <t>No.  Institutions must charge out-of-state students no less than 100% of the average cost of education.</t>
  </si>
  <si>
    <t>The standard fee is established by the Legislature in the General Appropriations Act.  Each Florida college board of trustees shall establish tuition and out-of-state fees, which may vary no more than 10 percent below and 15 percent above the combined total of the standard tuition and fees established in 1009.23(3)(a), Florida Statutes.</t>
  </si>
  <si>
    <t>The Kentucky Council on Postsecondary Education has statutory responsibility for setting tuition. The Council allows individual universities and the Kentucky Community and Technical College System to propose tuition and fees within specfied parameters established by the Council.</t>
  </si>
  <si>
    <t>The tuition parameters are established each biennium based on five principles: (1) Funding Adequacy; (2) Shared Benefits and Responsibility; (3) Affordability and Access; (4) Attracting and Importing Talent to Kentucky; and (5) Effective Use of Resources. Data from the statewide comprehensive database, a unit record affordabilty study, and market analyses among peer institutions are all considered.</t>
  </si>
  <si>
    <t>Rates are set by student classification. Institutions can choose a preferred pricing structure (e.g., flat rate or per credit hour).  KCTCS and Morehead State University have elected to charge on a per-credit-hour basis. The reamining 4-year institutions use a mix of per-credit-hour pricing (primarily for part-time or graduate students) and flat-rate structures based on 12 or more student credit hours per semester.</t>
  </si>
  <si>
    <t>USM Board of Regents approve the tuition and fee rates.</t>
  </si>
  <si>
    <t>St. Mary's College of Maryland Board of Truestees</t>
  </si>
  <si>
    <t>1-11 is by credit, 12-19 is one full time rate, 20 and above are the full time rate + the PT rate for each credits starting @ #20.</t>
  </si>
  <si>
    <t>Effective 2007-08, the fees at the USC two-year branches represent students with fewer than 75 credit hours.</t>
  </si>
  <si>
    <t>Full-Time Students, Public Institutions, 2009-10</t>
  </si>
  <si>
    <t>yes</t>
  </si>
  <si>
    <t>College of William and Mary</t>
  </si>
  <si>
    <t>Longwood University</t>
  </si>
  <si>
    <t>$8/credit hour</t>
  </si>
  <si>
    <t>University of Mary Washington</t>
  </si>
  <si>
    <t>Virginia Community College System</t>
  </si>
  <si>
    <t>$7.3/credit hour</t>
  </si>
  <si>
    <t xml:space="preserve">Hinds Community College </t>
  </si>
  <si>
    <t xml:space="preserve">Mississippi Gulf Coast Community College </t>
  </si>
  <si>
    <t xml:space="preserve">Northwest Mississippi Community College </t>
  </si>
  <si>
    <t xml:space="preserve">Copiah-Lincoln Community College </t>
  </si>
  <si>
    <t xml:space="preserve">East Central Community College </t>
  </si>
  <si>
    <t xml:space="preserve">East Mississippi Community College </t>
  </si>
  <si>
    <t xml:space="preserve">Holmes Community College </t>
  </si>
  <si>
    <t xml:space="preserve">Itawamba Community College </t>
  </si>
  <si>
    <t xml:space="preserve">Jones County Junior College </t>
  </si>
  <si>
    <t xml:space="preserve">Meridian Community College </t>
  </si>
  <si>
    <t xml:space="preserve">Mississippi Delta Community College </t>
  </si>
  <si>
    <t xml:space="preserve">Northeast Mississippi Community College </t>
  </si>
  <si>
    <t xml:space="preserve">Pearl River Community College </t>
  </si>
  <si>
    <t xml:space="preserve">Coahoma Community College </t>
  </si>
  <si>
    <t>Southwest Mississippi Community College</t>
  </si>
  <si>
    <t>No, but most community colleges have added a per course distance learning or on-line fee.  Currently, these fees are in the range of $15.00 to $30.00</t>
  </si>
  <si>
    <t>Virginia Commonwealth University</t>
  </si>
  <si>
    <t>December 2010</t>
  </si>
  <si>
    <t>Texas A&amp;M Health Science Center</t>
  </si>
  <si>
    <t>Table 134</t>
  </si>
  <si>
    <t>Table 135</t>
  </si>
  <si>
    <t>Table 136</t>
  </si>
  <si>
    <t>Table 137</t>
  </si>
  <si>
    <t>Table 138</t>
  </si>
  <si>
    <t>Table 139</t>
  </si>
  <si>
    <t>Table 140</t>
  </si>
  <si>
    <t>Table 141</t>
  </si>
  <si>
    <t>Table 142</t>
  </si>
  <si>
    <r>
      <t xml:space="preserve">Table 142 </t>
    </r>
    <r>
      <rPr>
        <sz val="14"/>
        <rFont val="Arial"/>
        <family val="2"/>
      </rPr>
      <t xml:space="preserve"> (continued)</t>
    </r>
  </si>
  <si>
    <t>Public Four-Year Institutions, 2008-09</t>
  </si>
  <si>
    <t>Public Institutions, 2008-09</t>
  </si>
  <si>
    <t>Public Two-Year Colleges and Technical Institutes or Colleges, 2008-09</t>
  </si>
  <si>
    <t>Table 133</t>
  </si>
  <si>
    <t>Each Florida college board of trustees shall establish tuition and out-of-state fees, which may vary no more than 10 percent below and 15 percent above the combined total of the standard tuition and fees established in 1009.23(3)(a), Florida Statutes.  Non-resident students should pay 100% of instructional costs at 2-year institutions.</t>
  </si>
  <si>
    <t xml:space="preserve">Tuition rates generally are established such that the projected amount of revenue raised will approximate at least 25% of the total amount generated by the USG funding formula. Out-of-state tuition rates are established at a level representing at least four times the in-state tuition rates. University System of Georgia research universities may request increases in out-of-state tuition rates based on the tuition levels of peer or benchmark institutions. Graduate tuition is equal to 120% of under-graduate tuition. Institutions are permitted to request tuition differentials for nationally competitive professional programs.The guaranteed tuition plan is discontinued for new students beginning summer semester 2009. However, the following applies to students already on the guarantee for the period of the guarantee. For FY 2007, the Board implemented a new Fixed for Four guaranteed tuition plan, whereby, new entering first time freshmen can lock in the tuition rate (not fees!) for a total of 4 years. The student will have no increase over the 4-year period for tuition only. This applies for new  students who entered the system between fall 2006 and spring 2009. </t>
  </si>
  <si>
    <t xml:space="preserve">Tuition for undergraduate students enrolled at an institution within the University System of Georgia shall be charged at the full rate for students enrolled for  15 credit hours or more and at a per credit hour rate for students enrolled for less than  15 credit hours, effective July 1, 2009. Graduate tuition will be charged at the full rate for students enrolled for 12 credit hours and at a per credit hour rate for students enrolled for less than 12 credit hours. 
Further, a “finish-in-four” tuition model which provides for a flat tuition based on 15 hours a semester will be charged at University of Georgia and Georgia Institute of Technology, for all students taking in excess of six hours, to encourage students to graduate in four years.  Students taking 6 hours or fewer will pay a flat rate that will be lower than the 15-hour rate. The “finish-in-four” model is effective July 1, 2009.  
</t>
  </si>
  <si>
    <t xml:space="preserve">Tuition for credit curriculum leading to a diploma or associate degree shall be charged on a uniform basis throughout the State.                Students attending technical institutes who reside outside the State of Georgia shall pay tuition twice that charged for Georgia residents. 
International students who are residents of the State shall pay the same tuition as Georgia students.
Non-resident aliens and those on I-20 Foreign Student Visas shall pay a tuition amounting to four (4) times that paid by a resident of Georgia.
International students, to include diplomatic, consular, mission, and other non-immigrant personnel shall pay tuition fees amounting to four (4) times that paid by a resident of Georgia.
</t>
  </si>
  <si>
    <t>By the credit hour, but capped at 15 credit hours.</t>
  </si>
  <si>
    <t>General Assembly and the State Board of Community Colleges within policies established by the General Assembly.</t>
  </si>
  <si>
    <t>State policies allow waiver of non-resident fees for military personnel and dependents, student research and teaching assistants employed at least one-half time at a public institution, teachers and professors employed at least one-half time at a public institution, non-resident students who receive competitive academic scholarships, non-resident students employed (or whose parent is employed) by corporations participating in the economic development and diversification program. Waivers may also be granted to Mexican students attending border institutions and to residents of neighboring states at some institutions. Non-resident fees are waived for students in the SREB Academic Common Market program. Some of these are mandatory and other's are optional for the institutions.  For more information, see the attached listing of waivers.                                                                                                                                                                                                                                                                                                                                                                       Any student who attends high school in Texas for three years and graduates from a Texas high school can qualify to pay resident tuition rates, regardless of immigration status(by statute, this is not a waiver,but a bona fide Texas resident) .</t>
  </si>
  <si>
    <t xml:space="preserve">Each Florida college board of trustees that has a service area that borders another state may implement a plan for a differential out-of-state fee.
</t>
  </si>
  <si>
    <t xml:space="preserve"> Students attending technical institutes who reside outside the State of Georgia shall pay tuition twice that charged for Georgia residents. 
International students who are residents of the State shall pay the same tuition as Georgia students.
Non-resident aliens and those on I-20 Foreign Student Visas shall pay a tuition amounting to four (4) times that paid by a resident of Georgia.
International students, to include diplomatic, consular, mission, and other non-immigrant personnel shall pay tuition fees amounting to four (4) times that paid by a resident of Georgia.
</t>
  </si>
  <si>
    <t xml:space="preserve">Students who are classified as non-resident students under the Board's State Residency Policy shall normally be charged a rate of tuition twice that charged for students who are classified as resident students. The Commissioner may approve exceptions to this policy, provided:
i) A written application is submitted by the institution.
ii) There is evidence of a written reciprocity agreement with appropriate institutions in another state.
</t>
  </si>
  <si>
    <r>
      <t xml:space="preserve">Are there policies on waiving, reducing or remitting non-resident tuition? 
</t>
    </r>
    <r>
      <rPr>
        <sz val="9"/>
        <rFont val="Arial"/>
        <family val="2"/>
      </rPr>
      <t>(All SREB Academic Common Market states --see next section -- have at least that out-of-state fee waiver.)</t>
    </r>
  </si>
  <si>
    <t>Yes, universities may assess a per-credit hour Distance Learning course fee, (F.S. 1009.24 (17)).</t>
  </si>
  <si>
    <t xml:space="preserve">Institutions may charge special tuition rates for distance education courses and programs. For the purposes of this policy, distance learning courses and programs shall be defined as those courses and programs in which 95% or more of class contact time is delivered by a distance technology.
If the rate is either less than the institution’s in-state tuition rate or greater than its out-of-state rate, Board approval is required.
Notwithstanding other provisions in Sections 7.3 of this Policy Manual, rates shall apply to all students regardless of residency status
</t>
  </si>
  <si>
    <t>The USC's Aiken Campus and Aiken Technical College may offer in state tuition to a student whose legal residence is in the Richmond/Columbia County area of Georgia as long as the Georgia Regents continues its tuition program by which in state tuition is offered to students residing in the Aiken/Edgefield/ McCormick County area of the South Carolina, or students residing in the Aiken/Edgefield County area of South Carolina if the Georgia Regents does not include McCormick County residents in its Georgia tuition program.                                              The South Carolina technical colleges may offer in-state rates to residents of bordering North Carolina and Georgia communities if a reciprocal agreement is in effect with the two-year colleges in these neighboring regions or when students from these out-of-state communities are employed by South Carolina employers who pay South Carolina taxes.</t>
  </si>
  <si>
    <r>
      <t>An institution may award out-of-state tuition differential waivers and assess in-state tuition for certain non-Georgia residents under the following conditions: Students selected to participate in programs offered through the SREB Academic Common Market; International and Superior Out-of-State Students; University System Employees and Dependents; Medical/Dental Students and Interns; Full-Time School Employees; Career Consular Officials; Career consular officers, their spouses, and their dependent children who are citizens of the foreign nation that their consular office represents and who are stationed and living in Georgia under orders of their respective governments;</t>
    </r>
    <r>
      <rPr>
        <b/>
        <sz val="8"/>
        <rFont val="Arial"/>
        <family val="2"/>
      </rPr>
      <t xml:space="preserve"> </t>
    </r>
    <r>
      <rPr>
        <sz val="8"/>
        <rFont val="Arial"/>
        <family val="2"/>
      </rPr>
      <t xml:space="preserve">Military personnel, their spouses, and their dependent children stationed in or assigned to Georgia and on active duty; Selected graduate students attending the University of Georgia, the Georgia Institute of Technology, Georgia State University, and the Medical College of Georgia so long aseach of these institutions does not exceed the number assigned below (UGA=80, GaTech=60, Ga State=80, MCG=20); Border County Residents; Georgia National Guard and U.S. Military Reservists; Students Enrolled in USG Institutions as Part of Competitive Economic Development Projects; Students in Georgia-Based Corporations; Students in ICAPP® Advantage Programs; International and Domestic Exchange Programs; Recently Separated Military Service Personnel; Selectged Non-Resident Students (1)Students under 24 and (2) Students 24 and Older, if the student can provide clear and legal evidence showing a familial relationship to the spouse and the spouse has maintained domicile in Georgia for at least 12 consecutive months immediately preceding the first day of classes for the term; Students enrolled in a USG institution based on a referral by the Vocational Rehabilitation Program of the Georgia Department of Labor. (BoR Minutes, October 2008).
</t>
    </r>
  </si>
  <si>
    <t xml:space="preserve">Also, as of the first day of classes for the term, an economic advantage waiver may be granted to a U.S. citizen or U.S. legal permanent resident who is a dependent or independent student and can provide clear evidence that the student or the student’s parent, spouse, or United States court-appointed legal guardian has relocated to the State of Georgia to accept full-time, self-sustaining employment and has established domicile in the State of Georgia. 
</t>
  </si>
  <si>
    <t>Legislature sets limits on tuition increases. Tuition rate is based on cost of instruction: Resident students are expected to pay 1/3 of cost of instruction, non-residents should pay 100%. Tuition increases limits are developed in comparison to peer institutions.</t>
  </si>
  <si>
    <t>Non-resident tuition may be waived for graduate assistants. Students (undergraduate or graduate) who are TN state employees, children of state employees, or children of TN tuition discount. At 2-year institutions, fee waivers are limited to 3% of FTE. Non-resident fees are waived for students in the SREB Academic Common Market program.</t>
  </si>
  <si>
    <t xml:space="preserve">THEC policy states that resident tuition for undergraduates be set at 40% of appropriations for 4-year institutions, 35% of appropriations for 2-year institutions and 15% of appropriations for medicine, dentistry, veterinary medicine and technology centers. Resident tuition should not exceed SREB averages unless appropriations and the ratios indicate otherwise. Non-resident tuition should be 80%-90% of state appropriations for resident students. </t>
  </si>
  <si>
    <t>University of Delaware</t>
  </si>
  <si>
    <t>Delaware State University</t>
  </si>
  <si>
    <t>Delaware Technical and Community College--Owens</t>
  </si>
  <si>
    <t>Delaware Technical and Community College--Stanton-Wilmington</t>
  </si>
  <si>
    <t>Delaware Technical and Community College--Terry</t>
  </si>
  <si>
    <t>Delaware Higher Education Office</t>
  </si>
  <si>
    <t>There is no requirement for any portion of tuition and fee revenue to be devoted to capital funding.  Institutions may issue bonds to raise capital funds.</t>
  </si>
  <si>
    <r>
      <t>1</t>
    </r>
    <r>
      <rPr>
        <sz val="8"/>
        <rFont val="Arial"/>
        <family val="2"/>
      </rPr>
      <t xml:space="preserve"> The Georgia Board of Regents implemented a special institutional fee effective Spring 2009 in the follow amounts: $100 per semester for research universities and six special mission institutions, $75 per semester for other institutions and $50 per semester for access institutions, Effective Spring 2010, those amounts doubled. Sunset date of June 30, 2012.</t>
    </r>
  </si>
  <si>
    <t>The University System of Georgia
(cont.)</t>
  </si>
  <si>
    <t>Gadsden State Community College</t>
  </si>
</sst>
</file>

<file path=xl/styles.xml><?xml version="1.0" encoding="utf-8"?>
<styleSheet xmlns="http://schemas.openxmlformats.org/spreadsheetml/2006/main">
  <numFmts count="5">
    <numFmt numFmtId="43" formatCode="_(* #,##0.00_);_(* \(#,##0.00\);_(* &quot;-&quot;??_);_(@_)"/>
    <numFmt numFmtId="164" formatCode="0_)"/>
    <numFmt numFmtId="165" formatCode="_(* #,##0_);_(* \(#,##0\);_(* &quot;-&quot;??_);_(@_)"/>
    <numFmt numFmtId="166" formatCode="&quot;$&quot;#,##0"/>
    <numFmt numFmtId="167" formatCode="0.0%"/>
  </numFmts>
  <fonts count="41">
    <font>
      <sz val="12"/>
      <name val="AGaramond"/>
    </font>
    <font>
      <sz val="12"/>
      <name val="AGaramond"/>
      <family val="3"/>
    </font>
    <font>
      <sz val="12"/>
      <name val="AGaramond"/>
      <family val="1"/>
    </font>
    <font>
      <sz val="8"/>
      <name val="Arial"/>
      <family val="2"/>
    </font>
    <font>
      <b/>
      <sz val="14"/>
      <name val="Arial"/>
      <family val="2"/>
    </font>
    <font>
      <sz val="10"/>
      <name val="Arial"/>
      <family val="2"/>
    </font>
    <font>
      <b/>
      <sz val="12"/>
      <name val="Arial"/>
      <family val="2"/>
    </font>
    <font>
      <b/>
      <sz val="9"/>
      <name val="Arial"/>
      <family val="2"/>
    </font>
    <font>
      <b/>
      <sz val="10"/>
      <name val="Arial"/>
      <family val="2"/>
    </font>
    <font>
      <sz val="12"/>
      <name val="Arial"/>
      <family val="2"/>
    </font>
    <font>
      <b/>
      <sz val="8"/>
      <color indexed="81"/>
      <name val="Tahoma"/>
      <family val="2"/>
    </font>
    <font>
      <sz val="10"/>
      <color indexed="19"/>
      <name val="Arial"/>
      <family val="2"/>
    </font>
    <font>
      <i/>
      <sz val="10"/>
      <name val="Arial"/>
      <family val="2"/>
    </font>
    <font>
      <b/>
      <sz val="10"/>
      <color indexed="12"/>
      <name val="Arial"/>
      <family val="2"/>
    </font>
    <font>
      <sz val="10"/>
      <color indexed="8"/>
      <name val="Arial"/>
      <family val="2"/>
    </font>
    <font>
      <b/>
      <sz val="10"/>
      <color indexed="8"/>
      <name val="Arial"/>
      <family val="2"/>
    </font>
    <font>
      <sz val="10"/>
      <name val="AGaramond"/>
      <family val="1"/>
    </font>
    <font>
      <sz val="10"/>
      <name val="Courier"/>
      <family val="3"/>
    </font>
    <font>
      <b/>
      <sz val="10"/>
      <color indexed="10"/>
      <name val="ARIAL"/>
      <family val="2"/>
    </font>
    <font>
      <sz val="8"/>
      <color indexed="81"/>
      <name val="Tahoma"/>
      <family val="2"/>
    </font>
    <font>
      <b/>
      <sz val="10"/>
      <color indexed="81"/>
      <name val="Tahoma"/>
      <family val="2"/>
    </font>
    <font>
      <sz val="10"/>
      <color rgb="FFFF0000"/>
      <name val="Arial"/>
      <family val="2"/>
    </font>
    <font>
      <sz val="8"/>
      <name val="Arial"/>
      <family val="2"/>
    </font>
    <font>
      <sz val="9"/>
      <name val="AGaramond"/>
      <family val="3"/>
    </font>
    <font>
      <sz val="8"/>
      <name val="AGaramond"/>
      <family val="3"/>
    </font>
    <font>
      <sz val="10"/>
      <name val="Arial"/>
      <family val="2"/>
    </font>
    <font>
      <sz val="10"/>
      <color indexed="81"/>
      <name val="Tahoma"/>
      <family val="2"/>
    </font>
    <font>
      <vertAlign val="superscript"/>
      <sz val="10"/>
      <name val="Arial"/>
      <family val="2"/>
    </font>
    <font>
      <vertAlign val="superscript"/>
      <sz val="8"/>
      <name val="Arial"/>
      <family val="2"/>
    </font>
    <font>
      <sz val="10"/>
      <color indexed="18"/>
      <name val="Tahoma"/>
      <family val="2"/>
    </font>
    <font>
      <b/>
      <sz val="10"/>
      <color rgb="FFC00000"/>
      <name val="ARIAL"/>
      <family val="2"/>
    </font>
    <font>
      <sz val="14"/>
      <name val="Arial"/>
      <family val="2"/>
    </font>
    <font>
      <sz val="10"/>
      <color rgb="FFC00000"/>
      <name val="Arial"/>
      <family val="2"/>
    </font>
    <font>
      <sz val="10"/>
      <color rgb="FF00B050"/>
      <name val="Arial"/>
      <family val="2"/>
    </font>
    <font>
      <b/>
      <sz val="9"/>
      <color indexed="81"/>
      <name val="Tahoma"/>
      <family val="2"/>
    </font>
    <font>
      <sz val="9"/>
      <color indexed="81"/>
      <name val="Tahoma"/>
      <family val="2"/>
    </font>
    <font>
      <sz val="11"/>
      <color indexed="10"/>
      <name val="Arial"/>
      <family val="2"/>
    </font>
    <font>
      <vertAlign val="superscript"/>
      <sz val="11"/>
      <color rgb="FFC00000"/>
      <name val="Arial"/>
      <family val="2"/>
    </font>
    <font>
      <sz val="8"/>
      <color indexed="8"/>
      <name val="Tahoma"/>
      <family val="2"/>
    </font>
    <font>
      <sz val="9"/>
      <name val="Arial"/>
      <family val="2"/>
    </font>
    <font>
      <b/>
      <sz val="8"/>
      <name val="Arial"/>
      <family val="2"/>
    </font>
  </fonts>
  <fills count="29">
    <fill>
      <patternFill patternType="none"/>
    </fill>
    <fill>
      <patternFill patternType="gray125"/>
    </fill>
    <fill>
      <patternFill patternType="solid">
        <fgColor indexed="47"/>
        <bgColor indexed="64"/>
      </patternFill>
    </fill>
    <fill>
      <patternFill patternType="solid">
        <fgColor indexed="11"/>
        <bgColor indexed="64"/>
      </patternFill>
    </fill>
    <fill>
      <patternFill patternType="solid">
        <fgColor indexed="13"/>
        <bgColor indexed="64"/>
      </patternFill>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47"/>
        <bgColor indexed="42"/>
      </patternFill>
    </fill>
    <fill>
      <patternFill patternType="solid">
        <fgColor indexed="15"/>
        <bgColor indexed="64"/>
      </patternFill>
    </fill>
    <fill>
      <patternFill patternType="solid">
        <fgColor indexed="15"/>
        <bgColor indexed="42"/>
      </patternFill>
    </fill>
    <fill>
      <patternFill patternType="solid">
        <fgColor indexed="45"/>
        <bgColor indexed="42"/>
      </patternFill>
    </fill>
    <fill>
      <patternFill patternType="solid">
        <fgColor indexed="43"/>
        <bgColor indexed="64"/>
      </patternFill>
    </fill>
    <fill>
      <patternFill patternType="solid">
        <fgColor indexed="43"/>
        <bgColor indexed="42"/>
      </patternFill>
    </fill>
    <fill>
      <patternFill patternType="solid">
        <fgColor indexed="44"/>
        <bgColor indexed="42"/>
      </patternFill>
    </fill>
    <fill>
      <patternFill patternType="solid">
        <fgColor indexed="46"/>
        <bgColor indexed="64"/>
      </patternFill>
    </fill>
    <fill>
      <patternFill patternType="solid">
        <fgColor indexed="51"/>
        <bgColor indexed="64"/>
      </patternFill>
    </fill>
    <fill>
      <patternFill patternType="solid">
        <fgColor indexed="42"/>
        <bgColor indexed="64"/>
      </patternFill>
    </fill>
    <fill>
      <patternFill patternType="solid">
        <fgColor indexed="51"/>
        <bgColor indexed="42"/>
      </patternFill>
    </fill>
    <fill>
      <patternFill patternType="solid">
        <fgColor indexed="42"/>
        <bgColor indexed="42"/>
      </patternFill>
    </fill>
    <fill>
      <patternFill patternType="solid">
        <fgColor indexed="9"/>
        <bgColor indexed="9"/>
      </patternFill>
    </fill>
    <fill>
      <patternFill patternType="solid">
        <fgColor rgb="FFFFC000"/>
        <bgColor indexed="64"/>
      </patternFill>
    </fill>
    <fill>
      <patternFill patternType="solid">
        <fgColor rgb="FF00FF00"/>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
      <patternFill patternType="solid">
        <fgColor indexed="22"/>
        <bgColor indexed="64"/>
      </patternFill>
    </fill>
    <fill>
      <patternFill patternType="solid">
        <fgColor rgb="FFFFCC66"/>
        <bgColor indexed="64"/>
      </patternFill>
    </fill>
  </fills>
  <borders count="45">
    <border>
      <left/>
      <right/>
      <top/>
      <bottom/>
      <diagonal/>
    </border>
    <border>
      <left/>
      <right/>
      <top style="thin">
        <color indexed="64"/>
      </top>
      <bottom/>
      <diagonal/>
    </border>
    <border>
      <left/>
      <right/>
      <top style="thin">
        <color indexed="8"/>
      </top>
      <bottom/>
      <diagonal/>
    </border>
    <border>
      <left/>
      <right/>
      <top/>
      <bottom style="thin">
        <color indexed="64"/>
      </bottom>
      <diagonal/>
    </border>
    <border>
      <left style="thin">
        <color indexed="8"/>
      </left>
      <right/>
      <top/>
      <bottom/>
      <diagonal/>
    </border>
    <border>
      <left style="thin">
        <color indexed="8"/>
      </left>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64"/>
      </right>
      <top style="thin">
        <color indexed="8"/>
      </top>
      <bottom style="thin">
        <color indexed="8"/>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style="thin">
        <color indexed="8"/>
      </right>
      <top/>
      <bottom style="thin">
        <color indexed="64"/>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9">
    <xf numFmtId="164" fontId="0" fillId="0" borderId="0"/>
    <xf numFmtId="43" fontId="2" fillId="0" borderId="0" applyFont="0" applyFill="0" applyBorder="0" applyAlignment="0" applyProtection="0"/>
    <xf numFmtId="43" fontId="2" fillId="0" borderId="0" applyFont="0" applyFill="0" applyBorder="0" applyAlignment="0" applyProtection="0"/>
    <xf numFmtId="164" fontId="1" fillId="0" borderId="0"/>
    <xf numFmtId="164" fontId="1" fillId="0" borderId="0"/>
    <xf numFmtId="164" fontId="2" fillId="0" borderId="0"/>
    <xf numFmtId="3" fontId="3" fillId="0" borderId="0"/>
    <xf numFmtId="164" fontId="1" fillId="0" borderId="0"/>
    <xf numFmtId="164" fontId="1" fillId="0" borderId="0"/>
    <xf numFmtId="164" fontId="1" fillId="0" borderId="0"/>
    <xf numFmtId="164" fontId="1" fillId="0" borderId="0"/>
    <xf numFmtId="37" fontId="17" fillId="0" borderId="0"/>
    <xf numFmtId="3" fontId="3" fillId="0" borderId="0"/>
    <xf numFmtId="3" fontId="3" fillId="0" borderId="0"/>
    <xf numFmtId="164" fontId="1" fillId="0" borderId="0"/>
    <xf numFmtId="164" fontId="1" fillId="0" borderId="0"/>
    <xf numFmtId="0" fontId="5" fillId="0" borderId="0"/>
    <xf numFmtId="164" fontId="1" fillId="0" borderId="0"/>
    <xf numFmtId="9" fontId="2" fillId="0" borderId="0" applyFont="0" applyFill="0" applyBorder="0" applyAlignment="0" applyProtection="0"/>
    <xf numFmtId="37" fontId="22" fillId="0" borderId="0"/>
    <xf numFmtId="0" fontId="25" fillId="0" borderId="0"/>
    <xf numFmtId="0" fontId="25"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164" fontId="1" fillId="0" borderId="0"/>
    <xf numFmtId="164" fontId="2" fillId="0" borderId="0"/>
    <xf numFmtId="43" fontId="1" fillId="0" borderId="0" applyFont="0" applyFill="0" applyBorder="0" applyAlignment="0" applyProtection="0"/>
  </cellStyleXfs>
  <cellXfs count="573">
    <xf numFmtId="164" fontId="0" fillId="0" borderId="0" xfId="0"/>
    <xf numFmtId="164" fontId="3" fillId="0" borderId="0" xfId="0" applyFont="1"/>
    <xf numFmtId="0" fontId="5" fillId="0" borderId="0" xfId="16" applyFont="1"/>
    <xf numFmtId="0" fontId="5" fillId="0" borderId="1" xfId="16" applyFont="1" applyBorder="1"/>
    <xf numFmtId="0" fontId="7" fillId="0" borderId="2" xfId="16" applyFont="1" applyBorder="1" applyAlignment="1" applyProtection="1">
      <alignment horizontal="centerContinuous"/>
    </xf>
    <xf numFmtId="0" fontId="5" fillId="0" borderId="0" xfId="16" applyFont="1" applyBorder="1"/>
    <xf numFmtId="0" fontId="5" fillId="0" borderId="0" xfId="16" applyFont="1" applyFill="1"/>
    <xf numFmtId="0" fontId="5" fillId="0" borderId="0" xfId="16" applyFill="1"/>
    <xf numFmtId="0" fontId="5" fillId="0" borderId="3" xfId="16" applyFont="1" applyBorder="1"/>
    <xf numFmtId="3" fontId="5" fillId="0" borderId="0" xfId="16" applyNumberFormat="1" applyFont="1" applyFill="1" applyBorder="1" applyAlignment="1">
      <alignment horizontal="center"/>
    </xf>
    <xf numFmtId="0" fontId="5" fillId="0" borderId="0" xfId="16"/>
    <xf numFmtId="0" fontId="8" fillId="0" borderId="2" xfId="16" applyFont="1" applyBorder="1" applyAlignment="1" applyProtection="1">
      <alignment horizontal="centerContinuous"/>
    </xf>
    <xf numFmtId="164" fontId="0" fillId="0" borderId="0" xfId="0" applyAlignment="1">
      <alignment horizontal="center"/>
    </xf>
    <xf numFmtId="0" fontId="5" fillId="0" borderId="0" xfId="16" applyFont="1" applyFill="1" applyBorder="1"/>
    <xf numFmtId="164" fontId="9" fillId="0" borderId="0" xfId="0" applyFont="1"/>
    <xf numFmtId="0" fontId="4" fillId="0" borderId="0" xfId="16" applyFont="1" applyAlignment="1">
      <alignment horizontal="center"/>
    </xf>
    <xf numFmtId="164" fontId="3" fillId="0" borderId="0" xfId="0" applyFont="1" applyAlignment="1">
      <alignment vertical="top" wrapText="1"/>
    </xf>
    <xf numFmtId="166" fontId="5" fillId="0" borderId="0" xfId="16" applyNumberFormat="1" applyFont="1" applyFill="1" applyAlignment="1">
      <alignment horizontal="right"/>
    </xf>
    <xf numFmtId="166" fontId="5" fillId="0" borderId="4" xfId="16" applyNumberFormat="1" applyFont="1" applyFill="1" applyBorder="1" applyAlignment="1">
      <alignment horizontal="right"/>
    </xf>
    <xf numFmtId="3" fontId="5" fillId="0" borderId="0" xfId="16" applyNumberFormat="1" applyFont="1" applyFill="1" applyAlignment="1">
      <alignment horizontal="right"/>
    </xf>
    <xf numFmtId="3" fontId="5" fillId="0" borderId="4" xfId="16" applyNumberFormat="1" applyFont="1" applyFill="1" applyBorder="1" applyAlignment="1">
      <alignment horizontal="right"/>
    </xf>
    <xf numFmtId="3" fontId="5" fillId="0" borderId="0" xfId="16" applyNumberFormat="1" applyFont="1" applyAlignment="1">
      <alignment horizontal="right"/>
    </xf>
    <xf numFmtId="3" fontId="5" fillId="0" borderId="4" xfId="16" applyNumberFormat="1" applyFont="1" applyBorder="1" applyAlignment="1">
      <alignment horizontal="right"/>
    </xf>
    <xf numFmtId="3" fontId="5" fillId="0" borderId="3" xfId="16" applyNumberFormat="1" applyFont="1" applyFill="1" applyBorder="1" applyAlignment="1">
      <alignment horizontal="right"/>
    </xf>
    <xf numFmtId="3" fontId="5" fillId="0" borderId="5" xfId="16" applyNumberFormat="1" applyFont="1" applyFill="1" applyBorder="1" applyAlignment="1">
      <alignment horizontal="right"/>
    </xf>
    <xf numFmtId="3" fontId="5" fillId="0" borderId="0" xfId="16" applyNumberFormat="1" applyFont="1" applyBorder="1" applyAlignment="1">
      <alignment horizontal="right"/>
    </xf>
    <xf numFmtId="3" fontId="5" fillId="0" borderId="3" xfId="16" applyNumberFormat="1" applyFont="1" applyBorder="1" applyAlignment="1">
      <alignment horizontal="right"/>
    </xf>
    <xf numFmtId="0" fontId="7" fillId="0" borderId="0" xfId="16" applyFont="1" applyBorder="1" applyAlignment="1" applyProtection="1">
      <alignment horizontal="center"/>
    </xf>
    <xf numFmtId="0" fontId="4" fillId="0" borderId="0" xfId="16" applyFont="1" applyAlignment="1">
      <alignment horizontal="centerContinuous"/>
    </xf>
    <xf numFmtId="0" fontId="6" fillId="0" borderId="0" xfId="16" applyFont="1" applyAlignment="1">
      <alignment horizontal="centerContinuous"/>
    </xf>
    <xf numFmtId="164" fontId="3" fillId="0" borderId="0" xfId="0" applyFont="1" applyFill="1" applyBorder="1"/>
    <xf numFmtId="166" fontId="5" fillId="0" borderId="6" xfId="16" applyNumberFormat="1" applyFont="1" applyFill="1" applyBorder="1" applyAlignment="1">
      <alignment horizontal="right"/>
    </xf>
    <xf numFmtId="3" fontId="5" fillId="0" borderId="6" xfId="16" applyNumberFormat="1" applyFont="1" applyFill="1" applyBorder="1" applyAlignment="1">
      <alignment horizontal="right"/>
    </xf>
    <xf numFmtId="3" fontId="5" fillId="0" borderId="6" xfId="16" applyNumberFormat="1" applyFont="1" applyBorder="1" applyAlignment="1">
      <alignment horizontal="right"/>
    </xf>
    <xf numFmtId="3" fontId="5" fillId="0" borderId="7" xfId="16" applyNumberFormat="1" applyFont="1" applyFill="1" applyBorder="1" applyAlignment="1">
      <alignment horizontal="right"/>
    </xf>
    <xf numFmtId="3" fontId="5" fillId="0" borderId="8" xfId="16" applyNumberFormat="1" applyFont="1" applyBorder="1" applyAlignment="1">
      <alignment horizontal="right"/>
    </xf>
    <xf numFmtId="3" fontId="5" fillId="0" borderId="9" xfId="16" applyNumberFormat="1" applyFont="1" applyBorder="1" applyAlignment="1">
      <alignment horizontal="right"/>
    </xf>
    <xf numFmtId="0" fontId="8" fillId="0" borderId="10" xfId="16" applyFont="1" applyBorder="1" applyAlignment="1" applyProtection="1">
      <alignment horizontal="centerContinuous"/>
    </xf>
    <xf numFmtId="0" fontId="11" fillId="0" borderId="0" xfId="16" applyFont="1" applyFill="1" applyBorder="1"/>
    <xf numFmtId="3" fontId="11" fillId="0" borderId="0" xfId="16" applyNumberFormat="1" applyFont="1" applyBorder="1" applyAlignment="1">
      <alignment horizontal="right"/>
    </xf>
    <xf numFmtId="3" fontId="11" fillId="0" borderId="11" xfId="16" applyNumberFormat="1" applyFont="1" applyBorder="1" applyAlignment="1">
      <alignment horizontal="right"/>
    </xf>
    <xf numFmtId="166" fontId="5" fillId="0" borderId="0" xfId="16" applyNumberFormat="1" applyFont="1" applyFill="1" applyBorder="1" applyAlignment="1">
      <alignment horizontal="right"/>
    </xf>
    <xf numFmtId="3" fontId="5" fillId="0" borderId="0" xfId="16" applyNumberFormat="1" applyFont="1" applyFill="1" applyBorder="1" applyAlignment="1">
      <alignment horizontal="right"/>
    </xf>
    <xf numFmtId="0" fontId="7" fillId="0" borderId="12" xfId="16" applyFont="1" applyBorder="1" applyAlignment="1" applyProtection="1">
      <alignment horizontal="centerContinuous"/>
    </xf>
    <xf numFmtId="0" fontId="7" fillId="0" borderId="13" xfId="16" applyFont="1" applyBorder="1" applyAlignment="1" applyProtection="1">
      <alignment horizontal="centerContinuous"/>
    </xf>
    <xf numFmtId="0" fontId="7" fillId="0" borderId="13" xfId="16" applyFont="1" applyBorder="1" applyAlignment="1" applyProtection="1">
      <alignment horizontal="center" wrapText="1"/>
    </xf>
    <xf numFmtId="3" fontId="5" fillId="0" borderId="14" xfId="16" applyNumberFormat="1" applyFont="1" applyBorder="1" applyAlignment="1">
      <alignment horizontal="right"/>
    </xf>
    <xf numFmtId="3" fontId="5" fillId="0" borderId="14" xfId="16" applyNumberFormat="1" applyFont="1" applyFill="1" applyBorder="1" applyAlignment="1">
      <alignment horizontal="right"/>
    </xf>
    <xf numFmtId="3" fontId="5" fillId="0" borderId="15" xfId="16" applyNumberFormat="1" applyFont="1" applyFill="1" applyBorder="1" applyAlignment="1">
      <alignment horizontal="right"/>
    </xf>
    <xf numFmtId="0" fontId="5" fillId="0" borderId="0" xfId="16" applyFont="1" applyAlignment="1">
      <alignment horizontal="centerContinuous"/>
    </xf>
    <xf numFmtId="164" fontId="0" fillId="0" borderId="0" xfId="0" applyFill="1"/>
    <xf numFmtId="0" fontId="7" fillId="0" borderId="2" xfId="16" applyFont="1" applyBorder="1" applyAlignment="1" applyProtection="1">
      <alignment horizontal="center"/>
    </xf>
    <xf numFmtId="3" fontId="5" fillId="0" borderId="16" xfId="16" applyNumberFormat="1" applyFont="1" applyFill="1" applyBorder="1" applyAlignment="1">
      <alignment horizontal="center"/>
    </xf>
    <xf numFmtId="3" fontId="5" fillId="0" borderId="17" xfId="16" applyNumberFormat="1" applyFont="1" applyFill="1" applyBorder="1" applyAlignment="1">
      <alignment horizontal="center"/>
    </xf>
    <xf numFmtId="166" fontId="5" fillId="0" borderId="14" xfId="16" applyNumberFormat="1" applyFont="1" applyFill="1" applyBorder="1" applyAlignment="1">
      <alignment horizontal="right"/>
    </xf>
    <xf numFmtId="3" fontId="12" fillId="0" borderId="18" xfId="16" applyNumberFormat="1" applyFont="1" applyFill="1" applyBorder="1" applyAlignment="1">
      <alignment horizontal="center"/>
    </xf>
    <xf numFmtId="3" fontId="12" fillId="0" borderId="2" xfId="16" applyNumberFormat="1" applyFont="1" applyFill="1" applyBorder="1" applyAlignment="1">
      <alignment horizontal="center"/>
    </xf>
    <xf numFmtId="3" fontId="12" fillId="0" borderId="16" xfId="16" applyNumberFormat="1" applyFont="1" applyFill="1" applyBorder="1" applyAlignment="1">
      <alignment horizontal="center"/>
    </xf>
    <xf numFmtId="164" fontId="0" fillId="0" borderId="16" xfId="0" applyBorder="1"/>
    <xf numFmtId="3" fontId="5" fillId="0" borderId="18" xfId="16" applyNumberFormat="1" applyFont="1" applyFill="1" applyBorder="1" applyAlignment="1">
      <alignment horizontal="center"/>
    </xf>
    <xf numFmtId="3" fontId="5" fillId="0" borderId="2" xfId="16" applyNumberFormat="1" applyFont="1" applyFill="1" applyBorder="1" applyAlignment="1">
      <alignment horizontal="center"/>
    </xf>
    <xf numFmtId="3" fontId="5" fillId="0" borderId="19" xfId="16" applyNumberFormat="1" applyFont="1" applyFill="1" applyBorder="1" applyAlignment="1">
      <alignment horizontal="center"/>
    </xf>
    <xf numFmtId="164" fontId="0" fillId="0" borderId="16" xfId="0" applyBorder="1" applyAlignment="1">
      <alignment horizontal="center"/>
    </xf>
    <xf numFmtId="164" fontId="9" fillId="0" borderId="1" xfId="0" applyFont="1" applyBorder="1"/>
    <xf numFmtId="164" fontId="0" fillId="0" borderId="1" xfId="0" applyBorder="1"/>
    <xf numFmtId="0" fontId="7" fillId="0" borderId="20" xfId="16" applyFont="1" applyBorder="1" applyAlignment="1" applyProtection="1">
      <alignment horizontal="center" vertical="center" wrapText="1"/>
    </xf>
    <xf numFmtId="166" fontId="5" fillId="0" borderId="0" xfId="16" applyNumberFormat="1" applyFont="1" applyAlignment="1">
      <alignment horizontal="right"/>
    </xf>
    <xf numFmtId="164" fontId="9" fillId="0" borderId="0" xfId="0" applyFont="1" applyFill="1" applyBorder="1"/>
    <xf numFmtId="164" fontId="5" fillId="0" borderId="0" xfId="0" applyFont="1" applyBorder="1"/>
    <xf numFmtId="164" fontId="9" fillId="0" borderId="0" xfId="0" applyFont="1" applyFill="1"/>
    <xf numFmtId="0" fontId="8" fillId="0" borderId="0" xfId="16" applyFont="1" applyAlignment="1">
      <alignment horizontal="centerContinuous"/>
    </xf>
    <xf numFmtId="164" fontId="16" fillId="0" borderId="0" xfId="0" applyFont="1"/>
    <xf numFmtId="0" fontId="8" fillId="0" borderId="0" xfId="16" applyFont="1" applyAlignment="1">
      <alignment horizontal="center"/>
    </xf>
    <xf numFmtId="164" fontId="16" fillId="0" borderId="0" xfId="0" applyFont="1" applyAlignment="1"/>
    <xf numFmtId="0" fontId="8" fillId="0" borderId="13" xfId="16" applyFont="1" applyBorder="1" applyAlignment="1" applyProtection="1">
      <alignment horizontal="centerContinuous"/>
    </xf>
    <xf numFmtId="0" fontId="8" fillId="0" borderId="12" xfId="16" applyFont="1" applyBorder="1" applyAlignment="1" applyProtection="1">
      <alignment horizontal="centerContinuous"/>
    </xf>
    <xf numFmtId="0" fontId="5" fillId="0" borderId="1" xfId="16" applyBorder="1" applyAlignment="1">
      <alignment horizontal="center"/>
    </xf>
    <xf numFmtId="0" fontId="5" fillId="0" borderId="0" xfId="16" applyAlignment="1">
      <alignment horizontal="center"/>
    </xf>
    <xf numFmtId="0" fontId="8" fillId="0" borderId="3" xfId="16" applyFont="1" applyBorder="1" applyAlignment="1" applyProtection="1">
      <alignment horizontal="center"/>
    </xf>
    <xf numFmtId="0" fontId="7" fillId="0" borderId="20" xfId="16" applyFont="1" applyBorder="1" applyAlignment="1" applyProtection="1">
      <alignment horizontal="center"/>
    </xf>
    <xf numFmtId="0" fontId="5" fillId="0" borderId="3" xfId="16" applyFont="1" applyBorder="1" applyAlignment="1">
      <alignment horizontal="center"/>
    </xf>
    <xf numFmtId="0" fontId="7" fillId="0" borderId="12" xfId="16" applyFont="1" applyBorder="1" applyAlignment="1" applyProtection="1">
      <alignment horizontal="center"/>
    </xf>
    <xf numFmtId="164" fontId="5" fillId="0" borderId="0" xfId="0" applyFont="1" applyFill="1" applyBorder="1"/>
    <xf numFmtId="164" fontId="5" fillId="0" borderId="21" xfId="0" applyFont="1" applyFill="1" applyBorder="1"/>
    <xf numFmtId="167" fontId="5" fillId="2" borderId="0" xfId="18" applyNumberFormat="1" applyFont="1" applyFill="1"/>
    <xf numFmtId="3" fontId="5" fillId="2" borderId="0" xfId="16" applyNumberFormat="1" applyFont="1" applyFill="1" applyBorder="1" applyAlignment="1">
      <alignment horizontal="right"/>
    </xf>
    <xf numFmtId="0" fontId="5" fillId="0" borderId="0" xfId="0" applyNumberFormat="1" applyFont="1" applyFill="1" applyBorder="1" applyAlignment="1"/>
    <xf numFmtId="0" fontId="14" fillId="0" borderId="0" xfId="0" applyNumberFormat="1" applyFont="1" applyFill="1" applyBorder="1" applyAlignment="1"/>
    <xf numFmtId="0" fontId="13" fillId="0" borderId="0" xfId="0" applyNumberFormat="1" applyFont="1" applyFill="1" applyBorder="1" applyAlignment="1"/>
    <xf numFmtId="164" fontId="8" fillId="0" borderId="1" xfId="0" applyFont="1" applyBorder="1" applyAlignment="1">
      <alignment horizontal="left"/>
    </xf>
    <xf numFmtId="164" fontId="5" fillId="0" borderId="0" xfId="0" applyFont="1"/>
    <xf numFmtId="164" fontId="9" fillId="0" borderId="0" xfId="0" applyFont="1" applyAlignment="1">
      <alignment horizontal="center"/>
    </xf>
    <xf numFmtId="164" fontId="9" fillId="2" borderId="0" xfId="0" applyFont="1" applyFill="1" applyAlignment="1">
      <alignment horizontal="center"/>
    </xf>
    <xf numFmtId="164" fontId="9" fillId="2" borderId="0" xfId="0" applyFont="1" applyFill="1"/>
    <xf numFmtId="164" fontId="9" fillId="0" borderId="0" xfId="0" applyFont="1" applyBorder="1"/>
    <xf numFmtId="164" fontId="9" fillId="0" borderId="0" xfId="0" applyFont="1" applyBorder="1" applyAlignment="1">
      <alignment horizontal="center"/>
    </xf>
    <xf numFmtId="0" fontId="4" fillId="0" borderId="0" xfId="16" applyFont="1" applyFill="1" applyAlignment="1">
      <alignment horizontal="centerContinuous"/>
    </xf>
    <xf numFmtId="0" fontId="8" fillId="0" borderId="0" xfId="16" applyFont="1" applyFill="1" applyAlignment="1">
      <alignment horizontal="centerContinuous"/>
    </xf>
    <xf numFmtId="0" fontId="6" fillId="0" borderId="0" xfId="16" applyFont="1" applyFill="1" applyAlignment="1">
      <alignment horizontal="centerContinuous"/>
    </xf>
    <xf numFmtId="0" fontId="7" fillId="0" borderId="2" xfId="16" applyFont="1" applyFill="1" applyBorder="1" applyAlignment="1" applyProtection="1">
      <alignment horizontal="centerContinuous"/>
    </xf>
    <xf numFmtId="0" fontId="7" fillId="0" borderId="22" xfId="16" applyFont="1" applyFill="1" applyBorder="1" applyAlignment="1" applyProtection="1">
      <alignment horizontal="center"/>
    </xf>
    <xf numFmtId="3" fontId="11" fillId="0" borderId="0" xfId="16" applyNumberFormat="1" applyFont="1" applyFill="1" applyBorder="1" applyAlignment="1">
      <alignment horizontal="right"/>
    </xf>
    <xf numFmtId="164" fontId="3" fillId="0" borderId="0" xfId="0" applyFont="1" applyFill="1" applyAlignment="1">
      <alignment vertical="top" wrapText="1"/>
    </xf>
    <xf numFmtId="0" fontId="8" fillId="0" borderId="0" xfId="16" applyFont="1" applyFill="1" applyAlignment="1">
      <alignment horizontal="center"/>
    </xf>
    <xf numFmtId="0" fontId="7" fillId="0" borderId="19" xfId="16" applyFont="1" applyFill="1" applyBorder="1" applyAlignment="1" applyProtection="1">
      <alignment horizontal="centerContinuous"/>
    </xf>
    <xf numFmtId="164" fontId="3" fillId="0" borderId="0" xfId="0" applyFont="1" applyFill="1"/>
    <xf numFmtId="0" fontId="5" fillId="0" borderId="0" xfId="16" applyFont="1" applyFill="1" applyAlignment="1">
      <alignment horizontal="centerContinuous"/>
    </xf>
    <xf numFmtId="0" fontId="7" fillId="0" borderId="23" xfId="16" applyFont="1" applyFill="1" applyBorder="1" applyAlignment="1" applyProtection="1">
      <alignment horizontal="center"/>
    </xf>
    <xf numFmtId="166" fontId="5" fillId="0" borderId="21" xfId="16" applyNumberFormat="1" applyFont="1" applyFill="1" applyBorder="1" applyAlignment="1">
      <alignment horizontal="right"/>
    </xf>
    <xf numFmtId="3" fontId="5" fillId="0" borderId="21" xfId="16" applyNumberFormat="1" applyFont="1" applyFill="1" applyBorder="1" applyAlignment="1">
      <alignment horizontal="right"/>
    </xf>
    <xf numFmtId="164" fontId="0" fillId="0" borderId="21" xfId="0" applyFill="1" applyBorder="1"/>
    <xf numFmtId="3" fontId="5" fillId="0" borderId="24" xfId="16" applyNumberFormat="1" applyFont="1" applyFill="1" applyBorder="1" applyAlignment="1">
      <alignment horizontal="right"/>
    </xf>
    <xf numFmtId="0" fontId="8" fillId="0" borderId="19" xfId="16" applyFont="1" applyFill="1" applyBorder="1" applyAlignment="1" applyProtection="1">
      <alignment horizontal="centerContinuous"/>
    </xf>
    <xf numFmtId="164" fontId="0" fillId="0" borderId="0" xfId="0" applyFill="1" applyBorder="1"/>
    <xf numFmtId="0" fontId="8" fillId="0" borderId="20" xfId="16" applyFont="1" applyFill="1" applyBorder="1" applyAlignment="1" applyProtection="1">
      <alignment horizontal="centerContinuous"/>
    </xf>
    <xf numFmtId="3" fontId="11" fillId="0" borderId="21" xfId="16" applyNumberFormat="1" applyFont="1" applyFill="1" applyBorder="1" applyAlignment="1">
      <alignment horizontal="right"/>
    </xf>
    <xf numFmtId="164" fontId="16" fillId="0" borderId="0" xfId="0" applyFont="1" applyFill="1"/>
    <xf numFmtId="164" fontId="16" fillId="0" borderId="3" xfId="0" applyFont="1" applyFill="1" applyBorder="1"/>
    <xf numFmtId="164" fontId="16" fillId="0" borderId="25" xfId="0" applyFont="1" applyFill="1" applyBorder="1"/>
    <xf numFmtId="0" fontId="7" fillId="0" borderId="2" xfId="16" applyFont="1" applyFill="1" applyBorder="1" applyAlignment="1" applyProtection="1">
      <alignment horizontal="center"/>
    </xf>
    <xf numFmtId="0" fontId="7" fillId="0" borderId="0" xfId="16" applyFont="1" applyFill="1" applyBorder="1" applyAlignment="1" applyProtection="1">
      <alignment horizontal="center"/>
    </xf>
    <xf numFmtId="164" fontId="16" fillId="0" borderId="0" xfId="0" applyFont="1" applyFill="1" applyAlignment="1"/>
    <xf numFmtId="164" fontId="0" fillId="0" borderId="1" xfId="0" applyFill="1" applyBorder="1"/>
    <xf numFmtId="167" fontId="5" fillId="0" borderId="0" xfId="18" applyNumberFormat="1" applyFont="1" applyFill="1"/>
    <xf numFmtId="164" fontId="5" fillId="4" borderId="0" xfId="17" applyFont="1" applyFill="1" applyBorder="1" applyAlignment="1" applyProtection="1">
      <alignment horizontal="center" wrapText="1"/>
    </xf>
    <xf numFmtId="164" fontId="5" fillId="0" borderId="0" xfId="7" applyFont="1" applyBorder="1"/>
    <xf numFmtId="164" fontId="5" fillId="0" borderId="21" xfId="0" applyFont="1" applyFill="1" applyBorder="1" applyAlignment="1">
      <alignment vertical="top"/>
    </xf>
    <xf numFmtId="164" fontId="5" fillId="0" borderId="0" xfId="0" applyFont="1" applyFill="1" applyBorder="1" applyAlignment="1">
      <alignment vertical="top"/>
    </xf>
    <xf numFmtId="164" fontId="3" fillId="0" borderId="0" xfId="0" applyFont="1" applyFill="1" applyAlignment="1">
      <alignment vertical="center"/>
    </xf>
    <xf numFmtId="49" fontId="3" fillId="0" borderId="0" xfId="0" quotePrefix="1" applyNumberFormat="1" applyFont="1" applyFill="1" applyAlignment="1">
      <alignment horizontal="right"/>
    </xf>
    <xf numFmtId="164" fontId="15" fillId="0" borderId="26" xfId="17" applyFont="1" applyFill="1" applyBorder="1" applyAlignment="1" applyProtection="1">
      <alignment horizontal="left"/>
    </xf>
    <xf numFmtId="164" fontId="15" fillId="0" borderId="27" xfId="17" applyFont="1" applyFill="1" applyBorder="1" applyAlignment="1" applyProtection="1">
      <alignment horizontal="left"/>
    </xf>
    <xf numFmtId="49" fontId="5" fillId="6" borderId="0" xfId="9" applyNumberFormat="1" applyFont="1" applyFill="1" applyBorder="1" applyAlignment="1">
      <alignment horizontal="left"/>
    </xf>
    <xf numFmtId="164" fontId="5" fillId="2" borderId="29" xfId="17" applyFont="1" applyFill="1" applyBorder="1" applyAlignment="1" applyProtection="1">
      <alignment horizontal="center" wrapText="1"/>
    </xf>
    <xf numFmtId="164" fontId="5" fillId="2" borderId="21" xfId="17" applyFont="1" applyFill="1" applyBorder="1" applyAlignment="1" applyProtection="1">
      <alignment horizontal="center" wrapText="1"/>
    </xf>
    <xf numFmtId="49" fontId="5" fillId="7" borderId="0" xfId="17" applyNumberFormat="1" applyFont="1" applyFill="1" applyBorder="1" applyAlignment="1">
      <alignment horizontal="center"/>
    </xf>
    <xf numFmtId="49" fontId="5" fillId="7" borderId="0" xfId="17" applyNumberFormat="1" applyFont="1" applyFill="1" applyBorder="1" applyAlignment="1" applyProtection="1">
      <alignment horizontal="left"/>
    </xf>
    <xf numFmtId="49" fontId="5" fillId="7" borderId="0" xfId="17" applyNumberFormat="1" applyFont="1" applyFill="1" applyBorder="1" applyAlignment="1" applyProtection="1">
      <alignment horizontal="center"/>
    </xf>
    <xf numFmtId="49" fontId="5" fillId="7" borderId="0" xfId="9" applyNumberFormat="1" applyFont="1" applyFill="1" applyBorder="1" applyAlignment="1">
      <alignment horizontal="left"/>
    </xf>
    <xf numFmtId="49" fontId="5" fillId="7" borderId="0" xfId="9" applyNumberFormat="1" applyFont="1" applyFill="1" applyBorder="1" applyAlignment="1">
      <alignment horizontal="center"/>
    </xf>
    <xf numFmtId="49" fontId="5" fillId="7" borderId="0" xfId="17" applyNumberFormat="1" applyFont="1" applyFill="1" applyBorder="1" applyAlignment="1">
      <alignment horizontal="left"/>
    </xf>
    <xf numFmtId="49" fontId="5" fillId="2" borderId="0" xfId="17" applyNumberFormat="1" applyFont="1" applyFill="1" applyBorder="1" applyAlignment="1">
      <alignment horizontal="center"/>
    </xf>
    <xf numFmtId="49" fontId="5" fillId="2" borderId="0" xfId="17" applyNumberFormat="1" applyFont="1" applyFill="1" applyBorder="1" applyAlignment="1" applyProtection="1">
      <alignment horizontal="left"/>
    </xf>
    <xf numFmtId="49" fontId="5" fillId="2" borderId="0" xfId="17" applyNumberFormat="1" applyFont="1" applyFill="1" applyBorder="1" applyAlignment="1" applyProtection="1">
      <alignment horizontal="center"/>
    </xf>
    <xf numFmtId="49" fontId="5" fillId="2" borderId="0" xfId="9" applyNumberFormat="1" applyFont="1" applyFill="1" applyBorder="1" applyAlignment="1">
      <alignment horizontal="center"/>
    </xf>
    <xf numFmtId="49" fontId="5" fillId="2" borderId="0" xfId="9" applyNumberFormat="1" applyFont="1" applyFill="1" applyBorder="1" applyAlignment="1">
      <alignment horizontal="left"/>
    </xf>
    <xf numFmtId="49" fontId="5" fillId="2" borderId="0" xfId="12" applyNumberFormat="1" applyFont="1" applyFill="1" applyBorder="1" applyAlignment="1" applyProtection="1">
      <alignment horizontal="left"/>
    </xf>
    <xf numFmtId="49" fontId="5" fillId="2" borderId="0" xfId="12" applyNumberFormat="1" applyFont="1" applyFill="1" applyBorder="1" applyAlignment="1" applyProtection="1">
      <alignment horizontal="center"/>
    </xf>
    <xf numFmtId="49" fontId="5" fillId="8" borderId="0" xfId="15" applyNumberFormat="1" applyFont="1" applyFill="1" applyBorder="1" applyAlignment="1" applyProtection="1">
      <alignment horizontal="center"/>
    </xf>
    <xf numFmtId="49" fontId="5" fillId="2" borderId="0" xfId="11" applyNumberFormat="1" applyFont="1" applyFill="1" applyBorder="1" applyAlignment="1" applyProtection="1">
      <alignment horizontal="left"/>
    </xf>
    <xf numFmtId="49" fontId="5" fillId="9" borderId="0" xfId="17" applyNumberFormat="1" applyFont="1" applyFill="1" applyBorder="1" applyAlignment="1" applyProtection="1">
      <alignment horizontal="left"/>
    </xf>
    <xf numFmtId="49" fontId="5" fillId="9" borderId="0" xfId="17" applyNumberFormat="1" applyFont="1" applyFill="1" applyBorder="1" applyAlignment="1" applyProtection="1">
      <alignment horizontal="center"/>
    </xf>
    <xf numFmtId="49" fontId="5" fillId="9" borderId="0" xfId="12" applyNumberFormat="1" applyFont="1" applyFill="1" applyBorder="1" applyAlignment="1" applyProtection="1">
      <alignment horizontal="center"/>
    </xf>
    <xf numFmtId="49" fontId="5" fillId="9" borderId="0" xfId="9" applyNumberFormat="1" applyFont="1" applyFill="1" applyBorder="1" applyAlignment="1">
      <alignment horizontal="left"/>
    </xf>
    <xf numFmtId="49" fontId="5" fillId="9" borderId="0" xfId="9" applyNumberFormat="1" applyFont="1" applyFill="1" applyBorder="1" applyAlignment="1">
      <alignment horizontal="center"/>
    </xf>
    <xf numFmtId="49" fontId="5" fillId="7" borderId="0" xfId="10" applyNumberFormat="1" applyFont="1" applyFill="1" applyBorder="1" applyAlignment="1">
      <alignment horizontal="left"/>
    </xf>
    <xf numFmtId="49" fontId="5" fillId="7" borderId="0" xfId="10" applyNumberFormat="1" applyFont="1" applyFill="1" applyBorder="1" applyAlignment="1">
      <alignment horizontal="center"/>
    </xf>
    <xf numFmtId="49" fontId="5" fillId="7" borderId="0" xfId="12" applyNumberFormat="1" applyFont="1" applyFill="1" applyBorder="1" applyAlignment="1" applyProtection="1">
      <alignment horizontal="center"/>
    </xf>
    <xf numFmtId="49" fontId="5" fillId="11" borderId="0" xfId="15" applyNumberFormat="1" applyFont="1" applyFill="1" applyBorder="1" applyAlignment="1" applyProtection="1">
      <alignment horizontal="center"/>
    </xf>
    <xf numFmtId="49" fontId="5" fillId="7" borderId="0" xfId="12" applyNumberFormat="1" applyFont="1" applyFill="1" applyBorder="1" applyAlignment="1">
      <alignment horizontal="left"/>
    </xf>
    <xf numFmtId="49" fontId="5" fillId="7" borderId="0" xfId="12" applyNumberFormat="1" applyFont="1" applyFill="1" applyBorder="1" applyAlignment="1">
      <alignment horizontal="center"/>
    </xf>
    <xf numFmtId="49" fontId="5" fillId="12" borderId="0" xfId="17" applyNumberFormat="1" applyFont="1" applyFill="1" applyBorder="1" applyAlignment="1">
      <alignment horizontal="center"/>
    </xf>
    <xf numFmtId="49" fontId="5" fillId="12" borderId="0" xfId="17" applyNumberFormat="1" applyFont="1" applyFill="1" applyBorder="1" applyAlignment="1">
      <alignment horizontal="left"/>
    </xf>
    <xf numFmtId="49" fontId="5" fillId="12" borderId="0" xfId="17" applyNumberFormat="1" applyFont="1" applyFill="1" applyBorder="1" applyAlignment="1" applyProtection="1">
      <alignment horizontal="center"/>
    </xf>
    <xf numFmtId="49" fontId="5" fillId="12" borderId="0" xfId="10" applyNumberFormat="1" applyFont="1" applyFill="1" applyBorder="1" applyAlignment="1">
      <alignment horizontal="left"/>
    </xf>
    <xf numFmtId="49" fontId="5" fillId="12" borderId="0" xfId="10" applyNumberFormat="1" applyFont="1" applyFill="1" applyBorder="1" applyAlignment="1">
      <alignment horizontal="center"/>
    </xf>
    <xf numFmtId="49" fontId="5" fillId="12" borderId="0" xfId="9" applyNumberFormat="1" applyFont="1" applyFill="1" applyBorder="1" applyAlignment="1">
      <alignment horizontal="center"/>
    </xf>
    <xf numFmtId="49" fontId="5" fillId="12" borderId="0" xfId="12" applyNumberFormat="1" applyFont="1" applyFill="1" applyBorder="1" applyAlignment="1">
      <alignment horizontal="center"/>
    </xf>
    <xf numFmtId="49" fontId="5" fillId="13" borderId="0" xfId="15" applyNumberFormat="1" applyFont="1" applyFill="1" applyBorder="1" applyAlignment="1" applyProtection="1">
      <alignment horizontal="center"/>
    </xf>
    <xf numFmtId="49" fontId="5" fillId="6" borderId="0" xfId="17" applyNumberFormat="1" applyFont="1" applyFill="1" applyBorder="1" applyAlignment="1">
      <alignment horizontal="center"/>
    </xf>
    <xf numFmtId="49" fontId="5" fillId="6" borderId="0" xfId="17" applyNumberFormat="1" applyFont="1" applyFill="1" applyBorder="1" applyAlignment="1">
      <alignment horizontal="left"/>
    </xf>
    <xf numFmtId="49" fontId="5" fillId="6" borderId="0" xfId="17" applyNumberFormat="1" applyFont="1" applyFill="1" applyBorder="1" applyAlignment="1" applyProtection="1">
      <alignment horizontal="center"/>
    </xf>
    <xf numFmtId="49" fontId="5" fillId="6" borderId="0" xfId="10" applyNumberFormat="1" applyFont="1" applyFill="1" applyBorder="1" applyAlignment="1">
      <alignment horizontal="left"/>
    </xf>
    <xf numFmtId="49" fontId="5" fillId="6" borderId="0" xfId="12" applyNumberFormat="1" applyFont="1" applyFill="1" applyBorder="1" applyAlignment="1">
      <alignment horizontal="center"/>
    </xf>
    <xf numFmtId="49" fontId="5" fillId="14" borderId="0" xfId="15" applyNumberFormat="1" applyFont="1" applyFill="1" applyBorder="1" applyAlignment="1" applyProtection="1">
      <alignment horizontal="center"/>
    </xf>
    <xf numFmtId="49" fontId="5" fillId="6" borderId="0" xfId="12" applyNumberFormat="1" applyFont="1" applyFill="1" applyBorder="1" applyAlignment="1">
      <alignment horizontal="left"/>
    </xf>
    <xf numFmtId="49" fontId="5" fillId="15" borderId="0" xfId="17" applyNumberFormat="1" applyFont="1" applyFill="1" applyBorder="1" applyAlignment="1">
      <alignment horizontal="center"/>
    </xf>
    <xf numFmtId="49" fontId="5" fillId="15" borderId="0" xfId="17" applyNumberFormat="1" applyFont="1" applyFill="1" applyBorder="1" applyAlignment="1">
      <alignment horizontal="left"/>
    </xf>
    <xf numFmtId="49" fontId="5" fillId="15" borderId="0" xfId="17" applyNumberFormat="1" applyFont="1" applyFill="1" applyBorder="1" applyAlignment="1" applyProtection="1">
      <alignment horizontal="center"/>
    </xf>
    <xf numFmtId="49" fontId="5" fillId="15" borderId="0" xfId="10" applyNumberFormat="1" applyFont="1" applyFill="1" applyBorder="1" applyAlignment="1">
      <alignment horizontal="left"/>
    </xf>
    <xf numFmtId="49" fontId="5" fillId="15" borderId="0" xfId="10" applyNumberFormat="1" applyFont="1" applyFill="1" applyBorder="1" applyAlignment="1">
      <alignment horizontal="center"/>
    </xf>
    <xf numFmtId="49" fontId="5" fillId="15" borderId="0" xfId="9" applyNumberFormat="1" applyFont="1" applyFill="1" applyBorder="1" applyAlignment="1">
      <alignment horizontal="center"/>
    </xf>
    <xf numFmtId="49" fontId="5" fillId="2" borderId="0" xfId="7" applyNumberFormat="1" applyFont="1" applyFill="1" applyBorder="1" applyAlignment="1">
      <alignment horizontal="center"/>
    </xf>
    <xf numFmtId="49" fontId="5" fillId="2" borderId="0" xfId="7" applyNumberFormat="1" applyFont="1" applyFill="1" applyBorder="1" applyAlignment="1">
      <alignment horizontal="left"/>
    </xf>
    <xf numFmtId="49" fontId="5" fillId="2" borderId="0" xfId="10" applyNumberFormat="1" applyFont="1" applyFill="1" applyBorder="1" applyAlignment="1">
      <alignment horizontal="left"/>
    </xf>
    <xf numFmtId="49" fontId="5" fillId="2" borderId="0" xfId="6" applyNumberFormat="1" applyFont="1" applyFill="1" applyBorder="1" applyAlignment="1">
      <alignment horizontal="left"/>
    </xf>
    <xf numFmtId="49" fontId="5" fillId="2" borderId="0" xfId="6" applyNumberFormat="1" applyFont="1" applyFill="1" applyBorder="1" applyAlignment="1">
      <alignment horizontal="center"/>
    </xf>
    <xf numFmtId="49" fontId="5" fillId="16" borderId="0" xfId="17" applyNumberFormat="1" applyFont="1" applyFill="1" applyBorder="1" applyAlignment="1">
      <alignment horizontal="center"/>
    </xf>
    <xf numFmtId="49" fontId="5" fillId="16" borderId="0" xfId="17" applyNumberFormat="1" applyFont="1" applyFill="1" applyBorder="1" applyAlignment="1">
      <alignment horizontal="left"/>
    </xf>
    <xf numFmtId="49" fontId="5" fillId="16" borderId="0" xfId="17" applyNumberFormat="1" applyFont="1" applyFill="1" applyBorder="1" applyAlignment="1" applyProtection="1">
      <alignment horizontal="center"/>
    </xf>
    <xf numFmtId="49" fontId="5" fillId="16" borderId="0" xfId="10" applyNumberFormat="1" applyFont="1" applyFill="1" applyBorder="1" applyAlignment="1">
      <alignment horizontal="left"/>
    </xf>
    <xf numFmtId="49" fontId="5" fillId="16" borderId="0" xfId="10" applyNumberFormat="1" applyFont="1" applyFill="1" applyBorder="1" applyAlignment="1">
      <alignment horizontal="center"/>
    </xf>
    <xf numFmtId="49" fontId="5" fillId="16" borderId="0" xfId="9" applyNumberFormat="1" applyFont="1" applyFill="1" applyBorder="1" applyAlignment="1">
      <alignment horizontal="center"/>
    </xf>
    <xf numFmtId="49" fontId="5" fillId="16" borderId="0" xfId="12" applyNumberFormat="1" applyFont="1" applyFill="1" applyBorder="1" applyAlignment="1">
      <alignment horizontal="left"/>
    </xf>
    <xf numFmtId="49" fontId="5" fillId="9" borderId="0" xfId="17" applyNumberFormat="1" applyFont="1" applyFill="1" applyBorder="1" applyAlignment="1">
      <alignment horizontal="center"/>
    </xf>
    <xf numFmtId="49" fontId="5" fillId="9" borderId="0" xfId="17" applyNumberFormat="1" applyFont="1" applyFill="1" applyBorder="1" applyAlignment="1">
      <alignment horizontal="left"/>
    </xf>
    <xf numFmtId="49" fontId="5" fillId="9" borderId="0" xfId="10" applyNumberFormat="1" applyFont="1" applyFill="1" applyBorder="1" applyAlignment="1">
      <alignment horizontal="left"/>
    </xf>
    <xf numFmtId="49" fontId="5" fillId="9" borderId="0" xfId="10" applyNumberFormat="1" applyFont="1" applyFill="1" applyBorder="1" applyAlignment="1">
      <alignment horizontal="center"/>
    </xf>
    <xf numFmtId="49" fontId="5" fillId="15" borderId="0" xfId="17" applyNumberFormat="1" applyFont="1" applyFill="1" applyBorder="1" applyAlignment="1" applyProtection="1">
      <alignment horizontal="left"/>
    </xf>
    <xf numFmtId="49" fontId="5" fillId="17" borderId="0" xfId="17" applyNumberFormat="1" applyFont="1" applyFill="1" applyBorder="1" applyAlignment="1">
      <alignment horizontal="center"/>
    </xf>
    <xf numFmtId="49" fontId="5" fillId="17" borderId="0" xfId="17" applyNumberFormat="1" applyFont="1" applyFill="1" applyBorder="1" applyAlignment="1" applyProtection="1">
      <alignment horizontal="left"/>
    </xf>
    <xf numFmtId="49" fontId="5" fillId="17" borderId="0" xfId="17" applyNumberFormat="1" applyFont="1" applyFill="1" applyBorder="1" applyAlignment="1" applyProtection="1">
      <alignment horizontal="center"/>
    </xf>
    <xf numFmtId="49" fontId="5" fillId="17" borderId="0" xfId="9" applyNumberFormat="1" applyFont="1" applyFill="1" applyBorder="1" applyAlignment="1">
      <alignment horizontal="left"/>
    </xf>
    <xf numFmtId="49" fontId="5" fillId="17" borderId="0" xfId="9" applyNumberFormat="1" applyFont="1" applyFill="1" applyBorder="1" applyAlignment="1">
      <alignment horizontal="center"/>
    </xf>
    <xf numFmtId="49" fontId="5" fillId="17" borderId="0" xfId="17" applyNumberFormat="1" applyFont="1" applyFill="1" applyBorder="1" applyAlignment="1">
      <alignment horizontal="left"/>
    </xf>
    <xf numFmtId="49" fontId="5" fillId="0" borderId="0" xfId="0" applyNumberFormat="1" applyFont="1" applyFill="1" applyBorder="1" applyAlignment="1">
      <alignment horizontal="center"/>
    </xf>
    <xf numFmtId="49" fontId="5" fillId="0" borderId="0" xfId="0" applyNumberFormat="1" applyFont="1" applyFill="1" applyBorder="1" applyAlignment="1">
      <alignment horizontal="left"/>
    </xf>
    <xf numFmtId="49" fontId="5" fillId="6" borderId="0" xfId="17" applyNumberFormat="1" applyFont="1" applyFill="1" applyBorder="1" applyAlignment="1" applyProtection="1">
      <alignment horizontal="left"/>
    </xf>
    <xf numFmtId="49" fontId="5" fillId="6" borderId="0" xfId="12" applyNumberFormat="1" applyFont="1" applyFill="1" applyBorder="1" applyAlignment="1" applyProtection="1">
      <alignment horizontal="left"/>
    </xf>
    <xf numFmtId="49" fontId="5" fillId="6" borderId="0" xfId="12" applyNumberFormat="1" applyFont="1" applyFill="1" applyBorder="1" applyAlignment="1" applyProtection="1">
      <alignment horizontal="center"/>
    </xf>
    <xf numFmtId="49" fontId="5" fillId="6" borderId="0" xfId="9" applyNumberFormat="1" applyFont="1" applyFill="1" applyBorder="1" applyAlignment="1">
      <alignment horizontal="center"/>
    </xf>
    <xf numFmtId="49" fontId="5" fillId="16" borderId="0" xfId="12" applyNumberFormat="1" applyFont="1" applyFill="1" applyBorder="1" applyAlignment="1">
      <alignment horizontal="center"/>
    </xf>
    <xf numFmtId="49" fontId="5" fillId="18" borderId="0" xfId="15" applyNumberFormat="1" applyFont="1" applyFill="1" applyBorder="1" applyAlignment="1" applyProtection="1">
      <alignment horizontal="center"/>
    </xf>
    <xf numFmtId="49" fontId="5" fillId="2" borderId="0" xfId="17" applyNumberFormat="1" applyFont="1" applyFill="1" applyBorder="1" applyAlignment="1">
      <alignment horizontal="left"/>
    </xf>
    <xf numFmtId="49" fontId="5" fillId="2" borderId="0" xfId="10" applyNumberFormat="1" applyFont="1" applyFill="1" applyBorder="1" applyAlignment="1">
      <alignment horizontal="center"/>
    </xf>
    <xf numFmtId="49" fontId="5" fillId="2" borderId="0" xfId="12" applyNumberFormat="1" applyFont="1" applyFill="1" applyBorder="1" applyAlignment="1">
      <alignment horizontal="center"/>
    </xf>
    <xf numFmtId="49" fontId="5" fillId="2" borderId="0" xfId="12" applyNumberFormat="1" applyFont="1" applyFill="1" applyBorder="1" applyAlignment="1">
      <alignment horizontal="left"/>
    </xf>
    <xf numFmtId="49" fontId="5" fillId="2" borderId="0" xfId="9" applyNumberFormat="1" applyFont="1" applyFill="1" applyBorder="1" applyAlignment="1" applyProtection="1">
      <alignment horizontal="center"/>
    </xf>
    <xf numFmtId="49" fontId="5" fillId="17" borderId="0" xfId="7" applyNumberFormat="1" applyFont="1" applyFill="1" applyBorder="1" applyAlignment="1">
      <alignment horizontal="center"/>
    </xf>
    <xf numFmtId="49" fontId="5" fillId="17" borderId="0" xfId="10" applyNumberFormat="1" applyFont="1" applyFill="1" applyBorder="1" applyAlignment="1">
      <alignment horizontal="left"/>
    </xf>
    <xf numFmtId="49" fontId="5" fillId="17" borderId="0" xfId="10" applyNumberFormat="1" applyFont="1" applyFill="1" applyBorder="1" applyAlignment="1">
      <alignment horizontal="center"/>
    </xf>
    <xf numFmtId="49" fontId="5" fillId="17" borderId="0" xfId="7" applyNumberFormat="1" applyFont="1" applyFill="1" applyBorder="1" applyAlignment="1">
      <alignment horizontal="left"/>
    </xf>
    <xf numFmtId="49" fontId="5" fillId="17" borderId="0" xfId="12" applyNumberFormat="1" applyFont="1" applyFill="1" applyBorder="1" applyAlignment="1">
      <alignment horizontal="left"/>
    </xf>
    <xf numFmtId="49" fontId="5" fillId="17" borderId="0" xfId="12" applyNumberFormat="1" applyFont="1" applyFill="1" applyBorder="1" applyAlignment="1">
      <alignment horizontal="center"/>
    </xf>
    <xf numFmtId="49" fontId="5" fillId="19" borderId="0" xfId="15" applyNumberFormat="1" applyFont="1" applyFill="1" applyBorder="1" applyAlignment="1" applyProtection="1">
      <alignment horizontal="center"/>
    </xf>
    <xf numFmtId="49" fontId="5" fillId="3" borderId="0" xfId="12" applyNumberFormat="1" applyFont="1" applyFill="1" applyBorder="1" applyAlignment="1">
      <alignment horizontal="center"/>
    </xf>
    <xf numFmtId="165" fontId="5" fillId="2" borderId="21" xfId="1" applyNumberFormat="1" applyFont="1" applyFill="1" applyBorder="1" applyAlignment="1">
      <alignment horizontal="right"/>
    </xf>
    <xf numFmtId="3" fontId="5" fillId="7" borderId="0" xfId="12" applyFont="1" applyFill="1" applyBorder="1" applyAlignment="1" applyProtection="1"/>
    <xf numFmtId="164" fontId="5" fillId="2" borderId="0" xfId="9" applyFont="1" applyFill="1" applyBorder="1" applyAlignment="1"/>
    <xf numFmtId="3" fontId="5" fillId="9" borderId="0" xfId="12" applyFont="1" applyFill="1" applyBorder="1" applyAlignment="1" applyProtection="1"/>
    <xf numFmtId="3" fontId="5" fillId="6" borderId="0" xfId="12" applyFont="1" applyFill="1" applyBorder="1" applyAlignment="1" applyProtection="1"/>
    <xf numFmtId="164" fontId="5" fillId="6" borderId="0" xfId="9" applyFont="1" applyFill="1" applyBorder="1" applyAlignment="1"/>
    <xf numFmtId="3" fontId="5" fillId="7" borderId="0" xfId="12" applyFont="1" applyFill="1" applyBorder="1" applyAlignment="1"/>
    <xf numFmtId="3" fontId="5" fillId="16" borderId="0" xfId="12" applyFont="1" applyFill="1" applyBorder="1" applyAlignment="1"/>
    <xf numFmtId="164" fontId="5" fillId="12" borderId="0" xfId="10" applyFont="1" applyFill="1" applyBorder="1"/>
    <xf numFmtId="3" fontId="5" fillId="6" borderId="0" xfId="12" applyFont="1" applyFill="1" applyBorder="1" applyAlignment="1"/>
    <xf numFmtId="1" fontId="5" fillId="17" borderId="0" xfId="9" applyNumberFormat="1" applyFont="1" applyFill="1" applyBorder="1" applyAlignment="1">
      <alignment horizontal="center"/>
    </xf>
    <xf numFmtId="3" fontId="5" fillId="17" borderId="0" xfId="12" applyFont="1" applyFill="1" applyBorder="1" applyAlignment="1"/>
    <xf numFmtId="1" fontId="5" fillId="9" borderId="0" xfId="9" applyNumberFormat="1" applyFont="1" applyFill="1" applyBorder="1" applyAlignment="1">
      <alignment horizontal="center"/>
    </xf>
    <xf numFmtId="49" fontId="5" fillId="15" borderId="0" xfId="14" applyNumberFormat="1" applyFont="1" applyFill="1" applyBorder="1" applyAlignment="1" applyProtection="1">
      <alignment horizontal="left"/>
    </xf>
    <xf numFmtId="164" fontId="8" fillId="0" borderId="30" xfId="5" applyFont="1" applyFill="1" applyBorder="1" applyAlignment="1">
      <alignment horizontal="centerContinuous" wrapText="1"/>
    </xf>
    <xf numFmtId="164" fontId="8" fillId="0" borderId="28" xfId="5" applyFont="1" applyFill="1" applyBorder="1" applyAlignment="1">
      <alignment horizontal="centerContinuous" wrapText="1"/>
    </xf>
    <xf numFmtId="164" fontId="8" fillId="0" borderId="31" xfId="5" applyFont="1" applyFill="1" applyBorder="1" applyAlignment="1">
      <alignment horizontal="centerContinuous" wrapText="1"/>
    </xf>
    <xf numFmtId="164" fontId="5" fillId="0" borderId="0" xfId="5" applyFont="1" applyFill="1" applyBorder="1"/>
    <xf numFmtId="164" fontId="5" fillId="0" borderId="24" xfId="5" applyFont="1" applyFill="1" applyBorder="1" applyAlignment="1">
      <alignment horizontal="center" wrapText="1"/>
    </xf>
    <xf numFmtId="164" fontId="5" fillId="0" borderId="3" xfId="5" applyFont="1" applyFill="1" applyBorder="1" applyAlignment="1">
      <alignment horizontal="center" wrapText="1"/>
    </xf>
    <xf numFmtId="164" fontId="5" fillId="0" borderId="0" xfId="5" applyFont="1" applyFill="1" applyBorder="1" applyAlignment="1">
      <alignment horizontal="center" wrapText="1"/>
    </xf>
    <xf numFmtId="164" fontId="8" fillId="0" borderId="21" xfId="5" applyFont="1" applyFill="1" applyBorder="1"/>
    <xf numFmtId="3" fontId="5" fillId="0" borderId="21" xfId="2" applyNumberFormat="1" applyFont="1" applyFill="1" applyBorder="1" applyAlignment="1">
      <alignment horizontal="right"/>
    </xf>
    <xf numFmtId="3" fontId="5" fillId="0" borderId="0" xfId="2" applyNumberFormat="1" applyFont="1" applyFill="1" applyBorder="1" applyAlignment="1">
      <alignment horizontal="right"/>
    </xf>
    <xf numFmtId="3" fontId="8" fillId="0" borderId="11" xfId="2" applyNumberFormat="1" applyFont="1" applyFill="1" applyBorder="1" applyAlignment="1">
      <alignment horizontal="right"/>
    </xf>
    <xf numFmtId="164" fontId="5" fillId="0" borderId="21" xfId="5" applyFont="1" applyFill="1" applyBorder="1"/>
    <xf numFmtId="164" fontId="5" fillId="0" borderId="21" xfId="5" applyFont="1" applyFill="1" applyBorder="1" applyAlignment="1">
      <alignment vertical="top"/>
    </xf>
    <xf numFmtId="3" fontId="5" fillId="0" borderId="0" xfId="2" applyNumberFormat="1" applyFont="1" applyFill="1" applyBorder="1" applyAlignment="1">
      <alignment horizontal="right" vertical="top"/>
    </xf>
    <xf numFmtId="3" fontId="8" fillId="0" borderId="11" xfId="2" applyNumberFormat="1" applyFont="1" applyFill="1" applyBorder="1" applyAlignment="1">
      <alignment horizontal="right" vertical="top"/>
    </xf>
    <xf numFmtId="164" fontId="5" fillId="0" borderId="0" xfId="5" applyFont="1" applyFill="1" applyBorder="1" applyAlignment="1">
      <alignment vertical="top"/>
    </xf>
    <xf numFmtId="164" fontId="5" fillId="0" borderId="24" xfId="5" applyFont="1" applyFill="1" applyBorder="1"/>
    <xf numFmtId="3" fontId="5" fillId="0" borderId="3" xfId="2" applyNumberFormat="1" applyFont="1" applyFill="1" applyBorder="1" applyAlignment="1">
      <alignment horizontal="right"/>
    </xf>
    <xf numFmtId="3" fontId="8" fillId="0" borderId="32" xfId="2" applyNumberFormat="1" applyFont="1" applyFill="1" applyBorder="1" applyAlignment="1">
      <alignment horizontal="right"/>
    </xf>
    <xf numFmtId="164" fontId="5" fillId="0" borderId="11" xfId="5" applyFont="1" applyFill="1" applyBorder="1" applyAlignment="1">
      <alignment horizontal="right"/>
    </xf>
    <xf numFmtId="164" fontId="8" fillId="0" borderId="0" xfId="5" applyFont="1" applyFill="1" applyBorder="1"/>
    <xf numFmtId="164" fontId="4" fillId="0" borderId="0" xfId="0" applyFont="1" applyAlignment="1">
      <alignment vertical="top"/>
    </xf>
    <xf numFmtId="164" fontId="23" fillId="0" borderId="0" xfId="0" applyFont="1" applyBorder="1"/>
    <xf numFmtId="164" fontId="24" fillId="0" borderId="0" xfId="0" applyFont="1" applyFill="1" applyBorder="1"/>
    <xf numFmtId="0" fontId="24" fillId="0" borderId="0" xfId="20" applyFont="1" applyFill="1" applyBorder="1"/>
    <xf numFmtId="164" fontId="24" fillId="0" borderId="0" xfId="0" applyFont="1" applyFill="1"/>
    <xf numFmtId="164" fontId="3" fillId="0" borderId="0" xfId="8" applyFont="1" applyAlignment="1">
      <alignment horizontal="left" wrapText="1"/>
    </xf>
    <xf numFmtId="164" fontId="24" fillId="0" borderId="0" xfId="0" applyFont="1" applyAlignment="1">
      <alignment horizontal="left"/>
    </xf>
    <xf numFmtId="164" fontId="24" fillId="0" borderId="0" xfId="0" applyFont="1"/>
    <xf numFmtId="37" fontId="4" fillId="0" borderId="0" xfId="19" applyNumberFormat="1" applyFont="1" applyAlignment="1" applyProtection="1">
      <alignment horizontal="centerContinuous" vertical="top"/>
    </xf>
    <xf numFmtId="164" fontId="4" fillId="0" borderId="0" xfId="0" applyFont="1" applyAlignment="1">
      <alignment horizontal="centerContinuous" vertical="top"/>
    </xf>
    <xf numFmtId="37" fontId="4" fillId="0" borderId="3" xfId="19" applyNumberFormat="1" applyFont="1" applyBorder="1" applyAlignment="1" applyProtection="1">
      <alignment horizontal="centerContinuous" vertical="top"/>
    </xf>
    <xf numFmtId="164" fontId="1" fillId="0" borderId="0" xfId="0" applyFont="1" applyFill="1"/>
    <xf numFmtId="164" fontId="24" fillId="0" borderId="0" xfId="0" applyFont="1" applyBorder="1" applyAlignment="1">
      <alignment horizontal="left"/>
    </xf>
    <xf numFmtId="0" fontId="9" fillId="0" borderId="0" xfId="21" applyFont="1" applyAlignment="1">
      <alignment horizontal="centerContinuous"/>
    </xf>
    <xf numFmtId="0" fontId="9" fillId="0" borderId="0" xfId="21" applyFont="1" applyFill="1" applyAlignment="1">
      <alignment horizontal="centerContinuous"/>
    </xf>
    <xf numFmtId="0" fontId="25" fillId="0" borderId="0" xfId="21"/>
    <xf numFmtId="0" fontId="5" fillId="0" borderId="0" xfId="21" applyFont="1" applyAlignment="1">
      <alignment horizontal="centerContinuous"/>
    </xf>
    <xf numFmtId="0" fontId="5" fillId="0" borderId="0" xfId="21" applyFont="1" applyFill="1" applyAlignment="1">
      <alignment horizontal="centerContinuous"/>
    </xf>
    <xf numFmtId="0" fontId="8" fillId="0" borderId="3" xfId="16" applyFont="1" applyFill="1" applyBorder="1" applyAlignment="1">
      <alignment horizontal="left"/>
    </xf>
    <xf numFmtId="0" fontId="5" fillId="0" borderId="3" xfId="16" applyFont="1" applyBorder="1" applyAlignment="1">
      <alignment horizontal="centerContinuous"/>
    </xf>
    <xf numFmtId="0" fontId="9" fillId="0" borderId="3" xfId="21" applyFont="1" applyBorder="1" applyAlignment="1">
      <alignment horizontal="centerContinuous"/>
    </xf>
    <xf numFmtId="0" fontId="9" fillId="0" borderId="3" xfId="21" applyFont="1" applyFill="1" applyBorder="1" applyAlignment="1">
      <alignment horizontal="centerContinuous"/>
    </xf>
    <xf numFmtId="0" fontId="8" fillId="0" borderId="3" xfId="16" applyFont="1" applyBorder="1"/>
    <xf numFmtId="0" fontId="18" fillId="0" borderId="0" xfId="21" applyFont="1"/>
    <xf numFmtId="9" fontId="5" fillId="0" borderId="0" xfId="22" applyFont="1" applyBorder="1" applyAlignment="1">
      <alignment horizontal="center"/>
    </xf>
    <xf numFmtId="9" fontId="5" fillId="0" borderId="0" xfId="22" applyFont="1" applyFill="1" applyBorder="1" applyAlignment="1">
      <alignment horizontal="center"/>
    </xf>
    <xf numFmtId="0" fontId="25" fillId="0" borderId="0" xfId="21" applyFill="1"/>
    <xf numFmtId="0" fontId="5" fillId="0" borderId="0" xfId="16" applyFont="1" applyFill="1" applyAlignment="1">
      <alignment horizontal="left"/>
    </xf>
    <xf numFmtId="0" fontId="5" fillId="0" borderId="3" xfId="16" applyFont="1" applyFill="1" applyBorder="1"/>
    <xf numFmtId="0" fontId="3" fillId="0" borderId="0" xfId="16" applyFont="1" applyBorder="1"/>
    <xf numFmtId="0" fontId="9" fillId="0" borderId="0" xfId="21" applyFont="1"/>
    <xf numFmtId="0" fontId="9" fillId="0" borderId="0" xfId="21" applyFont="1" applyFill="1" applyBorder="1"/>
    <xf numFmtId="0" fontId="9" fillId="0" borderId="0" xfId="21" applyFont="1" applyFill="1"/>
    <xf numFmtId="164" fontId="13" fillId="0" borderId="0" xfId="0" applyFont="1" applyFill="1" applyBorder="1" applyAlignment="1" applyProtection="1">
      <alignment horizontal="center"/>
    </xf>
    <xf numFmtId="164" fontId="13" fillId="0" borderId="0" xfId="17" applyFont="1" applyFill="1" applyBorder="1" applyAlignment="1" applyProtection="1">
      <alignment horizontal="center" wrapText="1"/>
    </xf>
    <xf numFmtId="164" fontId="8" fillId="0" borderId="0" xfId="0" applyFont="1" applyFill="1" applyBorder="1" applyAlignment="1">
      <alignment horizontal="left"/>
    </xf>
    <xf numFmtId="164" fontId="5" fillId="0" borderId="0" xfId="0" applyFont="1" applyFill="1" applyBorder="1" applyAlignment="1" applyProtection="1">
      <alignment horizontal="centerContinuous"/>
    </xf>
    <xf numFmtId="164" fontId="5" fillId="0" borderId="0" xfId="17" applyFont="1" applyFill="1" applyBorder="1" applyAlignment="1" applyProtection="1">
      <alignment horizontal="center" wrapText="1"/>
    </xf>
    <xf numFmtId="164" fontId="5" fillId="0" borderId="0" xfId="7" applyFont="1" applyFill="1" applyBorder="1"/>
    <xf numFmtId="167" fontId="25" fillId="0" borderId="0" xfId="18" applyNumberFormat="1" applyFont="1"/>
    <xf numFmtId="167" fontId="25" fillId="0" borderId="0" xfId="21" applyNumberFormat="1"/>
    <xf numFmtId="0" fontId="30" fillId="0" borderId="0" xfId="21" applyFont="1"/>
    <xf numFmtId="164" fontId="9" fillId="0" borderId="0" xfId="0" applyFont="1" applyFill="1"/>
    <xf numFmtId="0" fontId="7" fillId="0" borderId="33" xfId="16" applyFont="1" applyBorder="1" applyAlignment="1" applyProtection="1">
      <alignment horizontal="center"/>
    </xf>
    <xf numFmtId="164" fontId="0" fillId="0" borderId="2" xfId="0" applyBorder="1"/>
    <xf numFmtId="49" fontId="8" fillId="0" borderId="35" xfId="17" applyNumberFormat="1" applyFont="1" applyFill="1" applyBorder="1" applyAlignment="1">
      <alignment horizontal="center"/>
    </xf>
    <xf numFmtId="49" fontId="18" fillId="0" borderId="3" xfId="3" applyNumberFormat="1" applyFont="1" applyFill="1" applyBorder="1" applyAlignment="1">
      <alignment horizontal="left"/>
    </xf>
    <xf numFmtId="49" fontId="8" fillId="0" borderId="35" xfId="17" applyNumberFormat="1" applyFont="1" applyFill="1" applyBorder="1" applyAlignment="1" applyProtection="1">
      <alignment horizontal="center"/>
    </xf>
    <xf numFmtId="49" fontId="8" fillId="0" borderId="36" xfId="17" applyNumberFormat="1" applyFont="1" applyFill="1" applyBorder="1" applyAlignment="1" applyProtection="1">
      <alignment horizontal="center"/>
    </xf>
    <xf numFmtId="49" fontId="5" fillId="5" borderId="0" xfId="3" applyNumberFormat="1" applyFont="1" applyFill="1" applyBorder="1" applyAlignment="1">
      <alignment horizontal="center"/>
    </xf>
    <xf numFmtId="49" fontId="8" fillId="5" borderId="0" xfId="3" applyNumberFormat="1" applyFont="1" applyFill="1" applyBorder="1" applyAlignment="1">
      <alignment horizontal="left"/>
    </xf>
    <xf numFmtId="0" fontId="8" fillId="5" borderId="0" xfId="13" applyNumberFormat="1" applyFont="1" applyFill="1" applyBorder="1" applyAlignment="1" applyProtection="1">
      <alignment horizontal="center"/>
    </xf>
    <xf numFmtId="49" fontId="5" fillId="5" borderId="0" xfId="3" applyNumberFormat="1" applyFont="1" applyFill="1" applyBorder="1" applyAlignment="1" applyProtection="1">
      <alignment horizontal="center"/>
    </xf>
    <xf numFmtId="164" fontId="5" fillId="2" borderId="29" xfId="3" applyFont="1" applyFill="1" applyBorder="1" applyAlignment="1" applyProtection="1">
      <alignment horizontal="centerContinuous"/>
    </xf>
    <xf numFmtId="164" fontId="13" fillId="0" borderId="37" xfId="3" applyFont="1" applyFill="1" applyBorder="1" applyAlignment="1" applyProtection="1">
      <alignment horizontal="center"/>
    </xf>
    <xf numFmtId="164" fontId="5" fillId="2" borderId="21" xfId="3" applyFont="1" applyFill="1" applyBorder="1" applyAlignment="1" applyProtection="1">
      <alignment horizontal="centerContinuous"/>
    </xf>
    <xf numFmtId="49" fontId="5" fillId="5" borderId="0" xfId="3" applyNumberFormat="1" applyFont="1" applyFill="1" applyAlignment="1">
      <alignment horizontal="left"/>
    </xf>
    <xf numFmtId="49" fontId="8" fillId="5" borderId="0" xfId="3" applyNumberFormat="1" applyFont="1" applyFill="1" applyBorder="1" applyAlignment="1" applyProtection="1">
      <alignment horizontal="center"/>
    </xf>
    <xf numFmtId="164" fontId="13" fillId="0" borderId="0" xfId="3" applyFont="1" applyFill="1" applyBorder="1" applyAlignment="1" applyProtection="1">
      <alignment horizontal="center"/>
    </xf>
    <xf numFmtId="49" fontId="8" fillId="5" borderId="0" xfId="3" applyNumberFormat="1" applyFont="1" applyFill="1" applyBorder="1" applyAlignment="1" applyProtection="1">
      <alignment horizontal="left"/>
    </xf>
    <xf numFmtId="49" fontId="5" fillId="4" borderId="0" xfId="3" applyNumberFormat="1" applyFont="1" applyFill="1" applyBorder="1" applyAlignment="1" applyProtection="1">
      <alignment horizontal="center"/>
    </xf>
    <xf numFmtId="49" fontId="5" fillId="4" borderId="0" xfId="3" applyNumberFormat="1" applyFont="1" applyFill="1" applyBorder="1" applyAlignment="1" applyProtection="1">
      <alignment horizontal="left"/>
    </xf>
    <xf numFmtId="165" fontId="5" fillId="2" borderId="29" xfId="2" applyNumberFormat="1" applyFont="1" applyFill="1" applyBorder="1" applyAlignment="1">
      <alignment horizontal="right"/>
    </xf>
    <xf numFmtId="3" fontId="13" fillId="0" borderId="11" xfId="0" applyNumberFormat="1" applyFont="1" applyFill="1" applyBorder="1" applyAlignment="1">
      <alignment horizontal="right"/>
    </xf>
    <xf numFmtId="165" fontId="5" fillId="2" borderId="21" xfId="2" applyNumberFormat="1" applyFont="1" applyFill="1" applyBorder="1" applyAlignment="1">
      <alignment horizontal="right"/>
    </xf>
    <xf numFmtId="49" fontId="5" fillId="7" borderId="0" xfId="14" applyNumberFormat="1" applyFont="1" applyFill="1" applyBorder="1" applyAlignment="1" applyProtection="1">
      <alignment horizontal="center"/>
    </xf>
    <xf numFmtId="49" fontId="5" fillId="7" borderId="0" xfId="26" applyNumberFormat="1" applyFont="1" applyFill="1" applyBorder="1" applyAlignment="1" applyProtection="1">
      <alignment horizontal="center"/>
    </xf>
    <xf numFmtId="164" fontId="5" fillId="2" borderId="0" xfId="9" applyFont="1" applyFill="1" applyBorder="1"/>
    <xf numFmtId="1" fontId="5" fillId="2" borderId="0" xfId="9" applyNumberFormat="1" applyFont="1" applyFill="1" applyBorder="1" applyAlignment="1">
      <alignment horizontal="center"/>
    </xf>
    <xf numFmtId="49" fontId="5" fillId="2" borderId="0" xfId="2" applyNumberFormat="1" applyFont="1" applyFill="1" applyBorder="1" applyAlignment="1" applyProtection="1">
      <alignment horizontal="center"/>
    </xf>
    <xf numFmtId="3" fontId="18" fillId="0" borderId="11" xfId="0" applyNumberFormat="1" applyFont="1" applyFill="1" applyBorder="1" applyAlignment="1">
      <alignment horizontal="right"/>
    </xf>
    <xf numFmtId="165" fontId="5" fillId="4" borderId="29" xfId="2" applyNumberFormat="1" applyFont="1" applyFill="1" applyBorder="1" applyAlignment="1">
      <alignment horizontal="right"/>
    </xf>
    <xf numFmtId="165" fontId="5" fillId="4" borderId="21" xfId="2" applyNumberFormat="1" applyFont="1" applyFill="1" applyBorder="1" applyAlignment="1">
      <alignment horizontal="right"/>
    </xf>
    <xf numFmtId="49" fontId="21" fillId="17" borderId="0" xfId="9" applyNumberFormat="1" applyFont="1" applyFill="1" applyBorder="1" applyAlignment="1">
      <alignment horizontal="left"/>
    </xf>
    <xf numFmtId="49" fontId="21" fillId="17" borderId="0" xfId="9" applyNumberFormat="1" applyFont="1" applyFill="1" applyBorder="1" applyAlignment="1">
      <alignment horizontal="center"/>
    </xf>
    <xf numFmtId="1" fontId="21" fillId="17" borderId="0" xfId="9" applyNumberFormat="1" applyFont="1" applyFill="1" applyBorder="1" applyAlignment="1">
      <alignment horizontal="center"/>
    </xf>
    <xf numFmtId="3" fontId="13" fillId="0" borderId="0" xfId="0" applyNumberFormat="1" applyFont="1" applyFill="1" applyBorder="1" applyAlignment="1">
      <alignment horizontal="right"/>
    </xf>
    <xf numFmtId="3" fontId="21" fillId="9" borderId="0" xfId="12" applyFont="1" applyFill="1" applyBorder="1" applyAlignment="1" applyProtection="1"/>
    <xf numFmtId="49" fontId="21" fillId="9" borderId="0" xfId="9" applyNumberFormat="1" applyFont="1" applyFill="1" applyBorder="1" applyAlignment="1">
      <alignment horizontal="center"/>
    </xf>
    <xf numFmtId="1" fontId="21" fillId="9" borderId="0" xfId="9" applyNumberFormat="1" applyFont="1" applyFill="1" applyBorder="1" applyAlignment="1">
      <alignment horizontal="center"/>
    </xf>
    <xf numFmtId="1" fontId="5" fillId="10" borderId="0" xfId="15" applyNumberFormat="1" applyFont="1" applyFill="1" applyBorder="1" applyAlignment="1" applyProtection="1">
      <alignment horizontal="center"/>
    </xf>
    <xf numFmtId="1" fontId="5" fillId="14" borderId="0" xfId="15" applyNumberFormat="1" applyFont="1" applyFill="1" applyBorder="1" applyAlignment="1" applyProtection="1">
      <alignment horizontal="center"/>
    </xf>
    <xf numFmtId="49" fontId="5" fillId="6" borderId="29" xfId="17" applyNumberFormat="1" applyFont="1" applyFill="1" applyBorder="1" applyAlignment="1" applyProtection="1">
      <alignment horizontal="center"/>
    </xf>
    <xf numFmtId="0" fontId="5" fillId="6" borderId="0" xfId="9" applyNumberFormat="1" applyFont="1" applyFill="1" applyBorder="1" applyAlignment="1">
      <alignment horizontal="center"/>
    </xf>
    <xf numFmtId="1" fontId="5" fillId="7" borderId="0" xfId="9" applyNumberFormat="1" applyFont="1" applyFill="1" applyBorder="1" applyAlignment="1">
      <alignment horizontal="center"/>
    </xf>
    <xf numFmtId="1" fontId="5" fillId="11" borderId="0" xfId="15" applyNumberFormat="1" applyFont="1" applyFill="1" applyBorder="1" applyAlignment="1" applyProtection="1">
      <alignment horizontal="center"/>
    </xf>
    <xf numFmtId="3" fontId="32" fillId="7" borderId="0" xfId="12" applyFont="1" applyFill="1" applyBorder="1" applyAlignment="1"/>
    <xf numFmtId="49" fontId="32" fillId="7" borderId="0" xfId="10" applyNumberFormat="1" applyFont="1" applyFill="1" applyBorder="1" applyAlignment="1">
      <alignment horizontal="center"/>
    </xf>
    <xf numFmtId="1" fontId="32" fillId="7" borderId="0" xfId="9" applyNumberFormat="1" applyFont="1" applyFill="1" applyBorder="1" applyAlignment="1">
      <alignment horizontal="center"/>
    </xf>
    <xf numFmtId="3" fontId="5" fillId="2" borderId="0" xfId="12" applyFont="1" applyFill="1" applyBorder="1"/>
    <xf numFmtId="1" fontId="5" fillId="8" borderId="0" xfId="15" applyNumberFormat="1" applyFont="1" applyFill="1" applyBorder="1" applyAlignment="1" applyProtection="1">
      <alignment horizontal="center"/>
    </xf>
    <xf numFmtId="49" fontId="21" fillId="16" borderId="0" xfId="10" applyNumberFormat="1" applyFont="1" applyFill="1" applyBorder="1" applyAlignment="1">
      <alignment horizontal="left"/>
    </xf>
    <xf numFmtId="49" fontId="21" fillId="16" borderId="0" xfId="10" applyNumberFormat="1" applyFont="1" applyFill="1" applyBorder="1" applyAlignment="1">
      <alignment horizontal="center"/>
    </xf>
    <xf numFmtId="1" fontId="21" fillId="16" borderId="0" xfId="9" applyNumberFormat="1" applyFont="1" applyFill="1" applyBorder="1" applyAlignment="1">
      <alignment horizontal="center"/>
    </xf>
    <xf numFmtId="165" fontId="5" fillId="12" borderId="29" xfId="2" applyNumberFormat="1" applyFont="1" applyFill="1" applyBorder="1" applyAlignment="1">
      <alignment horizontal="right"/>
    </xf>
    <xf numFmtId="165" fontId="5" fillId="12" borderId="21" xfId="2" applyNumberFormat="1" applyFont="1" applyFill="1" applyBorder="1" applyAlignment="1">
      <alignment horizontal="right"/>
    </xf>
    <xf numFmtId="1" fontId="5" fillId="12" borderId="0" xfId="9" applyNumberFormat="1" applyFont="1" applyFill="1" applyBorder="1" applyAlignment="1">
      <alignment horizontal="center"/>
    </xf>
    <xf numFmtId="49" fontId="21" fillId="17" borderId="0" xfId="27" applyNumberFormat="1" applyFont="1" applyFill="1" applyBorder="1" applyAlignment="1">
      <alignment horizontal="left"/>
    </xf>
    <xf numFmtId="49" fontId="21" fillId="17" borderId="0" xfId="27" applyNumberFormat="1" applyFont="1" applyFill="1" applyBorder="1" applyAlignment="1">
      <alignment horizontal="center"/>
    </xf>
    <xf numFmtId="165" fontId="5" fillId="0" borderId="11" xfId="1" applyNumberFormat="1" applyFont="1" applyBorder="1"/>
    <xf numFmtId="49" fontId="5" fillId="6" borderId="0" xfId="2" applyNumberFormat="1" applyFont="1" applyFill="1" applyBorder="1" applyAlignment="1">
      <alignment horizontal="left"/>
    </xf>
    <xf numFmtId="164" fontId="21" fillId="2" borderId="0" xfId="10" applyFont="1" applyFill="1" applyBorder="1"/>
    <xf numFmtId="49" fontId="21" fillId="2" borderId="0" xfId="10" applyNumberFormat="1" applyFont="1" applyFill="1" applyBorder="1" applyAlignment="1">
      <alignment horizontal="center"/>
    </xf>
    <xf numFmtId="1" fontId="21" fillId="2" borderId="0" xfId="9" applyNumberFormat="1" applyFont="1" applyFill="1" applyBorder="1" applyAlignment="1">
      <alignment horizontal="center"/>
    </xf>
    <xf numFmtId="49" fontId="21" fillId="2" borderId="0" xfId="2" applyNumberFormat="1" applyFont="1" applyFill="1" applyBorder="1" applyAlignment="1">
      <alignment horizontal="center"/>
    </xf>
    <xf numFmtId="49" fontId="21" fillId="2" borderId="0" xfId="2" applyNumberFormat="1" applyFont="1" applyFill="1" applyBorder="1" applyAlignment="1">
      <alignment horizontal="left"/>
    </xf>
    <xf numFmtId="165" fontId="33" fillId="2" borderId="21" xfId="2" applyNumberFormat="1" applyFont="1" applyFill="1" applyBorder="1" applyAlignment="1">
      <alignment horizontal="right"/>
    </xf>
    <xf numFmtId="165" fontId="33" fillId="2" borderId="29" xfId="2" applyNumberFormat="1" applyFont="1" applyFill="1" applyBorder="1" applyAlignment="1">
      <alignment horizontal="right"/>
    </xf>
    <xf numFmtId="49" fontId="21" fillId="12" borderId="0" xfId="10" applyNumberFormat="1" applyFont="1" applyFill="1" applyBorder="1" applyAlignment="1">
      <alignment horizontal="left"/>
    </xf>
    <xf numFmtId="49" fontId="21" fillId="12" borderId="0" xfId="10" applyNumberFormat="1" applyFont="1" applyFill="1" applyBorder="1" applyAlignment="1">
      <alignment horizontal="center"/>
    </xf>
    <xf numFmtId="1" fontId="21" fillId="12" borderId="0" xfId="9" applyNumberFormat="1" applyFont="1" applyFill="1" applyBorder="1" applyAlignment="1">
      <alignment horizontal="center"/>
    </xf>
    <xf numFmtId="0" fontId="13" fillId="0" borderId="11" xfId="3" applyNumberFormat="1" applyFont="1" applyFill="1" applyBorder="1" applyAlignment="1"/>
    <xf numFmtId="0" fontId="5" fillId="17" borderId="0" xfId="9" applyNumberFormat="1" applyFont="1" applyFill="1" applyBorder="1" applyAlignment="1">
      <alignment horizontal="center"/>
    </xf>
    <xf numFmtId="49" fontId="21" fillId="17" borderId="0" xfId="10" applyNumberFormat="1" applyFont="1" applyFill="1" applyBorder="1" applyAlignment="1">
      <alignment horizontal="left"/>
    </xf>
    <xf numFmtId="49" fontId="21" fillId="17" borderId="0" xfId="10" applyNumberFormat="1" applyFont="1" applyFill="1" applyBorder="1" applyAlignment="1">
      <alignment horizontal="center"/>
    </xf>
    <xf numFmtId="165" fontId="5" fillId="23" borderId="29" xfId="2" applyNumberFormat="1" applyFont="1" applyFill="1" applyBorder="1" applyAlignment="1">
      <alignment horizontal="right"/>
    </xf>
    <xf numFmtId="3" fontId="13" fillId="21" borderId="11" xfId="0" applyNumberFormat="1" applyFont="1" applyFill="1" applyBorder="1" applyAlignment="1">
      <alignment horizontal="right"/>
    </xf>
    <xf numFmtId="3" fontId="13" fillId="23" borderId="11" xfId="0" applyNumberFormat="1" applyFont="1" applyFill="1" applyBorder="1" applyAlignment="1">
      <alignment horizontal="right"/>
    </xf>
    <xf numFmtId="165" fontId="5" fillId="23" borderId="21" xfId="2" applyNumberFormat="1" applyFont="1" applyFill="1" applyBorder="1" applyAlignment="1">
      <alignment horizontal="right"/>
    </xf>
    <xf numFmtId="165" fontId="5" fillId="21" borderId="21" xfId="2" applyNumberFormat="1" applyFont="1" applyFill="1" applyBorder="1" applyAlignment="1">
      <alignment horizontal="right"/>
    </xf>
    <xf numFmtId="165" fontId="5" fillId="22" borderId="21" xfId="2" applyNumberFormat="1" applyFont="1" applyFill="1" applyBorder="1" applyAlignment="1">
      <alignment horizontal="right"/>
    </xf>
    <xf numFmtId="3" fontId="21" fillId="17" borderId="0" xfId="12" applyFont="1" applyFill="1" applyBorder="1" applyAlignment="1"/>
    <xf numFmtId="49" fontId="21" fillId="17" borderId="0" xfId="12" applyNumberFormat="1" applyFont="1" applyFill="1" applyBorder="1" applyAlignment="1">
      <alignment horizontal="center"/>
    </xf>
    <xf numFmtId="1" fontId="21" fillId="19" borderId="0" xfId="15" applyNumberFormat="1" applyFont="1" applyFill="1" applyBorder="1" applyAlignment="1" applyProtection="1">
      <alignment horizontal="center"/>
    </xf>
    <xf numFmtId="49" fontId="21" fillId="15" borderId="0" xfId="10" applyNumberFormat="1" applyFont="1" applyFill="1" applyBorder="1" applyAlignment="1">
      <alignment horizontal="left"/>
    </xf>
    <xf numFmtId="49" fontId="21" fillId="15" borderId="0" xfId="10" applyNumberFormat="1" applyFont="1" applyFill="1" applyBorder="1" applyAlignment="1">
      <alignment horizontal="center"/>
    </xf>
    <xf numFmtId="1" fontId="21" fillId="15" borderId="0" xfId="9" applyNumberFormat="1" applyFont="1" applyFill="1" applyBorder="1" applyAlignment="1">
      <alignment horizontal="center"/>
    </xf>
    <xf numFmtId="164" fontId="21" fillId="15" borderId="0" xfId="10" applyFont="1" applyFill="1" applyBorder="1"/>
    <xf numFmtId="37" fontId="7" fillId="0" borderId="34" xfId="19" applyNumberFormat="1" applyFont="1" applyBorder="1" applyAlignment="1" applyProtection="1">
      <alignment horizontal="left" wrapText="1"/>
    </xf>
    <xf numFmtId="164" fontId="7" fillId="0" borderId="34" xfId="3" applyFont="1" applyBorder="1" applyAlignment="1">
      <alignment horizontal="left" wrapText="1"/>
    </xf>
    <xf numFmtId="37" fontId="3" fillId="0" borderId="34" xfId="19" applyNumberFormat="1" applyFont="1" applyFill="1" applyBorder="1" applyAlignment="1" applyProtection="1">
      <alignment horizontal="left" vertical="top" wrapText="1"/>
    </xf>
    <xf numFmtId="37" fontId="3" fillId="0" borderId="34" xfId="19" applyNumberFormat="1" applyFont="1" applyFill="1" applyBorder="1" applyAlignment="1" applyProtection="1">
      <alignment vertical="top" wrapText="1"/>
      <protection locked="0"/>
    </xf>
    <xf numFmtId="164" fontId="3" fillId="0" borderId="34" xfId="3" applyFont="1" applyFill="1" applyBorder="1" applyAlignment="1">
      <alignment vertical="top" wrapText="1"/>
    </xf>
    <xf numFmtId="164" fontId="3" fillId="0" borderId="34" xfId="0" applyFont="1" applyFill="1" applyBorder="1" applyAlignment="1">
      <alignment vertical="top" wrapText="1"/>
    </xf>
    <xf numFmtId="37" fontId="3" fillId="0" borderId="34" xfId="19" applyNumberFormat="1" applyFont="1" applyFill="1" applyBorder="1" applyAlignment="1" applyProtection="1">
      <alignment vertical="top" wrapText="1"/>
    </xf>
    <xf numFmtId="0" fontId="3" fillId="0" borderId="34" xfId="3" applyNumberFormat="1" applyFont="1" applyFill="1" applyBorder="1" applyAlignment="1">
      <alignment vertical="top" wrapText="1"/>
    </xf>
    <xf numFmtId="0" fontId="3" fillId="0" borderId="34" xfId="20" applyFont="1" applyFill="1" applyBorder="1" applyAlignment="1">
      <alignment vertical="top" wrapText="1"/>
    </xf>
    <xf numFmtId="0" fontId="3" fillId="0" borderId="34" xfId="20" applyNumberFormat="1" applyFont="1" applyFill="1" applyBorder="1" applyAlignment="1">
      <alignment vertical="top" wrapText="1"/>
    </xf>
    <xf numFmtId="164" fontId="3" fillId="0" borderId="34" xfId="3" applyFont="1" applyFill="1" applyBorder="1" applyAlignment="1">
      <alignment vertical="center" wrapText="1"/>
    </xf>
    <xf numFmtId="164" fontId="3" fillId="0" borderId="34" xfId="3" applyFont="1" applyFill="1" applyBorder="1" applyAlignment="1">
      <alignment horizontal="left" vertical="top" wrapText="1"/>
    </xf>
    <xf numFmtId="37" fontId="3" fillId="0" borderId="34" xfId="19" applyNumberFormat="1" applyFont="1" applyFill="1" applyBorder="1" applyAlignment="1" applyProtection="1">
      <alignment horizontal="left" vertical="top" wrapText="1"/>
      <protection locked="0"/>
    </xf>
    <xf numFmtId="0" fontId="3" fillId="0" borderId="34" xfId="3" applyNumberFormat="1" applyFont="1" applyFill="1" applyBorder="1" applyAlignment="1">
      <alignment horizontal="left" vertical="top" wrapText="1"/>
    </xf>
    <xf numFmtId="164" fontId="3" fillId="0" borderId="34" xfId="19" applyNumberFormat="1" applyFont="1" applyFill="1" applyBorder="1" applyAlignment="1" applyProtection="1">
      <alignment vertical="top" wrapText="1"/>
      <protection locked="0"/>
    </xf>
    <xf numFmtId="0" fontId="3" fillId="24" borderId="34" xfId="3" quotePrefix="1" applyNumberFormat="1" applyFont="1" applyFill="1" applyBorder="1" applyAlignment="1">
      <alignment horizontal="left" vertical="top" wrapText="1"/>
    </xf>
    <xf numFmtId="164" fontId="3" fillId="0" borderId="34" xfId="3" quotePrefix="1" applyFont="1" applyFill="1" applyBorder="1" applyAlignment="1">
      <alignment horizontal="left" vertical="top" wrapText="1"/>
    </xf>
    <xf numFmtId="37" fontId="3" fillId="0" borderId="34" xfId="3" applyNumberFormat="1" applyFont="1" applyFill="1" applyBorder="1" applyAlignment="1" applyProtection="1">
      <alignment horizontal="left" vertical="top" wrapText="1"/>
    </xf>
    <xf numFmtId="164" fontId="7" fillId="0" borderId="34" xfId="0" applyFont="1" applyBorder="1" applyAlignment="1">
      <alignment horizontal="left" wrapText="1"/>
    </xf>
    <xf numFmtId="37" fontId="3" fillId="0" borderId="38" xfId="19" applyNumberFormat="1" applyFont="1" applyFill="1" applyBorder="1" applyAlignment="1" applyProtection="1">
      <alignment vertical="top" wrapText="1"/>
      <protection locked="0"/>
    </xf>
    <xf numFmtId="37" fontId="3" fillId="0" borderId="39" xfId="19" applyNumberFormat="1" applyFont="1" applyFill="1" applyBorder="1" applyAlignment="1" applyProtection="1">
      <alignment horizontal="left" vertical="top" wrapText="1"/>
    </xf>
    <xf numFmtId="37" fontId="3" fillId="0" borderId="40" xfId="19" applyNumberFormat="1" applyFont="1" applyFill="1" applyBorder="1" applyAlignment="1" applyProtection="1">
      <alignment vertical="top" wrapText="1"/>
    </xf>
    <xf numFmtId="37" fontId="3" fillId="0" borderId="39" xfId="19" applyNumberFormat="1" applyFont="1" applyFill="1" applyBorder="1" applyAlignment="1" applyProtection="1">
      <alignment horizontal="left" vertical="top" wrapText="1"/>
      <protection locked="0"/>
    </xf>
    <xf numFmtId="37" fontId="3" fillId="0" borderId="38" xfId="19" applyNumberFormat="1" applyFont="1" applyFill="1" applyBorder="1" applyAlignment="1" applyProtection="1">
      <alignment vertical="top" wrapText="1"/>
    </xf>
    <xf numFmtId="164" fontId="3" fillId="0" borderId="38" xfId="19" applyNumberFormat="1" applyFont="1" applyFill="1" applyBorder="1" applyAlignment="1" applyProtection="1">
      <alignment vertical="top" wrapText="1"/>
      <protection locked="0"/>
    </xf>
    <xf numFmtId="164" fontId="3" fillId="0" borderId="38" xfId="19" applyNumberFormat="1" applyFont="1" applyFill="1" applyBorder="1" applyAlignment="1" applyProtection="1">
      <alignment horizontal="left" vertical="top" wrapText="1"/>
      <protection locked="0"/>
    </xf>
    <xf numFmtId="164" fontId="3" fillId="0" borderId="34" xfId="19" applyNumberFormat="1" applyFont="1" applyFill="1" applyBorder="1" applyAlignment="1" applyProtection="1">
      <alignment horizontal="left" vertical="top" wrapText="1"/>
      <protection locked="0"/>
    </xf>
    <xf numFmtId="0" fontId="3" fillId="0" borderId="34" xfId="3" quotePrefix="1" applyNumberFormat="1" applyFont="1" applyFill="1" applyBorder="1" applyAlignment="1">
      <alignment horizontal="left" vertical="top" wrapText="1"/>
    </xf>
    <xf numFmtId="164" fontId="3" fillId="0" borderId="34" xfId="19" quotePrefix="1" applyNumberFormat="1" applyFont="1" applyFill="1" applyBorder="1" applyAlignment="1" applyProtection="1">
      <alignment horizontal="left" vertical="top" wrapText="1"/>
      <protection locked="0"/>
    </xf>
    <xf numFmtId="0" fontId="5" fillId="0" borderId="0" xfId="21" applyFont="1"/>
    <xf numFmtId="164" fontId="36" fillId="0" borderId="0" xfId="3" applyFont="1" applyFill="1" applyAlignment="1">
      <alignment vertical="top"/>
    </xf>
    <xf numFmtId="0" fontId="37" fillId="0" borderId="0" xfId="16" applyFont="1" applyFill="1" applyBorder="1" applyAlignment="1">
      <alignment vertical="top"/>
    </xf>
    <xf numFmtId="3" fontId="8" fillId="0" borderId="11" xfId="2" applyNumberFormat="1" applyFont="1" applyFill="1" applyBorder="1" applyAlignment="1">
      <alignment horizontal="right" vertical="center"/>
    </xf>
    <xf numFmtId="164" fontId="5" fillId="0" borderId="3" xfId="5" applyFont="1" applyFill="1" applyBorder="1" applyAlignment="1">
      <alignment horizontal="right" wrapText="1"/>
    </xf>
    <xf numFmtId="164" fontId="5" fillId="0" borderId="0" xfId="5" applyFont="1" applyFill="1" applyBorder="1" applyAlignment="1">
      <alignment horizontal="right"/>
    </xf>
    <xf numFmtId="164" fontId="8" fillId="0" borderId="35" xfId="5" applyFont="1" applyFill="1" applyBorder="1" applyAlignment="1">
      <alignment horizontal="centerContinuous" wrapText="1"/>
    </xf>
    <xf numFmtId="3" fontId="5" fillId="0" borderId="0" xfId="2" applyNumberFormat="1" applyFont="1" applyFill="1" applyBorder="1" applyAlignment="1">
      <alignment horizontal="right" vertical="center"/>
    </xf>
    <xf numFmtId="164" fontId="5" fillId="0" borderId="40" xfId="5" applyFont="1" applyFill="1" applyBorder="1" applyAlignment="1">
      <alignment horizontal="right"/>
    </xf>
    <xf numFmtId="164" fontId="5" fillId="0" borderId="11" xfId="5" applyFont="1" applyFill="1" applyBorder="1" applyAlignment="1">
      <alignment horizontal="right" vertical="top"/>
    </xf>
    <xf numFmtId="164" fontId="5" fillId="0" borderId="32" xfId="5" applyFont="1" applyFill="1" applyBorder="1" applyAlignment="1">
      <alignment horizontal="right"/>
    </xf>
    <xf numFmtId="164" fontId="5" fillId="0" borderId="11" xfId="0" applyFont="1" applyFill="1" applyBorder="1" applyAlignment="1">
      <alignment horizontal="right"/>
    </xf>
    <xf numFmtId="3" fontId="5" fillId="0" borderId="41" xfId="2" applyNumberFormat="1" applyFont="1" applyFill="1" applyBorder="1" applyAlignment="1">
      <alignment horizontal="right"/>
    </xf>
    <xf numFmtId="164" fontId="5" fillId="0" borderId="11" xfId="5" applyFont="1" applyFill="1" applyBorder="1" applyAlignment="1">
      <alignment horizontal="right" vertical="center"/>
    </xf>
    <xf numFmtId="164" fontId="5" fillId="0" borderId="11" xfId="0" applyFont="1" applyFill="1" applyBorder="1" applyAlignment="1">
      <alignment horizontal="right" vertical="center"/>
    </xf>
    <xf numFmtId="164" fontId="5" fillId="0" borderId="11" xfId="5" applyFont="1" applyFill="1" applyBorder="1" applyAlignment="1">
      <alignment horizontal="center" vertical="center"/>
    </xf>
    <xf numFmtId="3" fontId="5" fillId="0" borderId="0" xfId="2" applyNumberFormat="1" applyFont="1" applyFill="1" applyBorder="1" applyAlignment="1">
      <alignment horizontal="center" vertical="center"/>
    </xf>
    <xf numFmtId="3" fontId="8" fillId="0" borderId="11" xfId="2" applyNumberFormat="1" applyFont="1" applyFill="1" applyBorder="1" applyAlignment="1">
      <alignment horizontal="center" vertical="top"/>
    </xf>
    <xf numFmtId="3" fontId="5" fillId="0" borderId="37" xfId="2" applyNumberFormat="1" applyFont="1" applyFill="1" applyBorder="1" applyAlignment="1">
      <alignment horizontal="right"/>
    </xf>
    <xf numFmtId="3" fontId="8" fillId="0" borderId="0" xfId="2" applyNumberFormat="1" applyFont="1" applyFill="1" applyBorder="1" applyAlignment="1">
      <alignment horizontal="right"/>
    </xf>
    <xf numFmtId="3" fontId="8" fillId="0" borderId="0" xfId="2" applyNumberFormat="1" applyFont="1" applyFill="1" applyBorder="1" applyAlignment="1">
      <alignment horizontal="right" vertical="center"/>
    </xf>
    <xf numFmtId="3" fontId="8" fillId="0" borderId="3" xfId="2" applyNumberFormat="1" applyFont="1" applyFill="1" applyBorder="1" applyAlignment="1">
      <alignment horizontal="right"/>
    </xf>
    <xf numFmtId="3" fontId="8" fillId="0" borderId="0" xfId="2" applyNumberFormat="1" applyFont="1" applyFill="1" applyBorder="1" applyAlignment="1">
      <alignment horizontal="right" vertical="top"/>
    </xf>
    <xf numFmtId="3" fontId="8" fillId="0" borderId="0" xfId="2" applyNumberFormat="1" applyFont="1" applyFill="1" applyBorder="1" applyAlignment="1">
      <alignment horizontal="center" vertical="top"/>
    </xf>
    <xf numFmtId="164" fontId="8" fillId="0" borderId="38" xfId="5" applyFont="1" applyFill="1" applyBorder="1" applyAlignment="1">
      <alignment horizontal="center" wrapText="1"/>
    </xf>
    <xf numFmtId="164" fontId="8" fillId="0" borderId="35" xfId="5" applyFont="1" applyFill="1" applyBorder="1" applyAlignment="1">
      <alignment horizontal="center" wrapText="1"/>
    </xf>
    <xf numFmtId="3" fontId="13" fillId="22" borderId="11" xfId="0" applyNumberFormat="1" applyFont="1" applyFill="1" applyBorder="1" applyAlignment="1">
      <alignment horizontal="right"/>
    </xf>
    <xf numFmtId="49" fontId="5" fillId="9" borderId="0" xfId="2" applyNumberFormat="1" applyFont="1" applyFill="1" applyBorder="1" applyAlignment="1">
      <alignment horizontal="center"/>
    </xf>
    <xf numFmtId="49" fontId="5" fillId="9" borderId="0" xfId="12" applyNumberFormat="1" applyFont="1" applyFill="1" applyBorder="1" applyAlignment="1">
      <alignment horizontal="center"/>
    </xf>
    <xf numFmtId="49" fontId="5" fillId="10" borderId="0" xfId="15" applyNumberFormat="1" applyFont="1" applyFill="1" applyBorder="1" applyAlignment="1" applyProtection="1">
      <alignment horizontal="center"/>
    </xf>
    <xf numFmtId="49" fontId="5" fillId="9" borderId="0" xfId="2" applyNumberFormat="1" applyFont="1" applyFill="1" applyBorder="1" applyAlignment="1">
      <alignment horizontal="left"/>
    </xf>
    <xf numFmtId="49" fontId="5" fillId="9" borderId="0" xfId="27" applyNumberFormat="1" applyFont="1" applyFill="1" applyBorder="1" applyAlignment="1">
      <alignment horizontal="left"/>
    </xf>
    <xf numFmtId="3" fontId="5" fillId="9" borderId="0" xfId="12" applyFont="1" applyFill="1" applyBorder="1" applyAlignment="1"/>
    <xf numFmtId="164" fontId="5" fillId="0" borderId="0" xfId="17" applyFont="1" applyBorder="1"/>
    <xf numFmtId="164" fontId="5" fillId="0" borderId="0" xfId="17" applyFont="1" applyFill="1" applyBorder="1"/>
    <xf numFmtId="0" fontId="5" fillId="0" borderId="0" xfId="3" applyNumberFormat="1" applyFont="1" applyFill="1" applyBorder="1" applyAlignment="1"/>
    <xf numFmtId="0" fontId="5" fillId="0" borderId="0" xfId="17" applyNumberFormat="1" applyFont="1" applyBorder="1" applyAlignment="1"/>
    <xf numFmtId="0" fontId="5" fillId="0" borderId="0" xfId="17" applyNumberFormat="1" applyFont="1" applyFill="1" applyBorder="1" applyAlignment="1"/>
    <xf numFmtId="164" fontId="5" fillId="0" borderId="0" xfId="7" applyFont="1" applyBorder="1" applyAlignment="1"/>
    <xf numFmtId="164" fontId="5" fillId="0" borderId="0" xfId="7" applyFont="1" applyFill="1" applyBorder="1" applyAlignment="1"/>
    <xf numFmtId="37" fontId="39" fillId="0" borderId="34" xfId="19" applyNumberFormat="1" applyFont="1" applyFill="1" applyBorder="1" applyAlignment="1" applyProtection="1">
      <alignment horizontal="left" vertical="top" wrapText="1"/>
    </xf>
    <xf numFmtId="9" fontId="5" fillId="0" borderId="0" xfId="22" applyFont="1" applyBorder="1" applyAlignment="1">
      <alignment horizontal="right"/>
    </xf>
    <xf numFmtId="9" fontId="5" fillId="0" borderId="0" xfId="22" applyFont="1" applyFill="1" applyAlignment="1">
      <alignment horizontal="right"/>
    </xf>
    <xf numFmtId="9" fontId="5" fillId="0" borderId="3" xfId="22" applyFont="1" applyFill="1" applyBorder="1" applyAlignment="1">
      <alignment horizontal="right"/>
    </xf>
    <xf numFmtId="49" fontId="32" fillId="9" borderId="0" xfId="27" applyNumberFormat="1" applyFont="1" applyFill="1" applyBorder="1" applyAlignment="1">
      <alignment horizontal="left"/>
    </xf>
    <xf numFmtId="49" fontId="32" fillId="9" borderId="0" xfId="27" applyNumberFormat="1" applyFont="1" applyFill="1" applyBorder="1" applyAlignment="1">
      <alignment horizontal="center"/>
    </xf>
    <xf numFmtId="1" fontId="32" fillId="9" borderId="0" xfId="9" applyNumberFormat="1" applyFont="1" applyFill="1" applyBorder="1" applyAlignment="1">
      <alignment horizontal="center"/>
    </xf>
    <xf numFmtId="164" fontId="5" fillId="9" borderId="0" xfId="27" applyFont="1" applyFill="1" applyBorder="1"/>
    <xf numFmtId="3" fontId="8" fillId="26" borderId="43" xfId="2" applyNumberFormat="1" applyFont="1" applyFill="1" applyBorder="1" applyAlignment="1">
      <alignment horizontal="right"/>
    </xf>
    <xf numFmtId="165" fontId="14" fillId="0" borderId="0" xfId="0" applyNumberFormat="1" applyFont="1" applyFill="1" applyBorder="1" applyAlignment="1"/>
    <xf numFmtId="165" fontId="5" fillId="0" borderId="21" xfId="2" applyNumberFormat="1" applyFont="1" applyFill="1" applyBorder="1" applyAlignment="1">
      <alignment horizontal="right"/>
    </xf>
    <xf numFmtId="164" fontId="9" fillId="0" borderId="0" xfId="0" applyFont="1" applyFill="1"/>
    <xf numFmtId="164" fontId="3" fillId="0" borderId="0" xfId="0" applyFont="1" applyAlignment="1">
      <alignment vertical="top" wrapText="1"/>
    </xf>
    <xf numFmtId="0" fontId="4" fillId="0" borderId="0" xfId="16" applyFont="1" applyAlignment="1">
      <alignment horizontal="center"/>
    </xf>
    <xf numFmtId="164" fontId="24" fillId="0" borderId="0" xfId="0" applyFont="1" applyAlignment="1">
      <alignment horizontal="centerContinuous"/>
    </xf>
    <xf numFmtId="37" fontId="4" fillId="0" borderId="44" xfId="19" applyNumberFormat="1" applyFont="1" applyBorder="1" applyAlignment="1" applyProtection="1">
      <alignment horizontal="centerContinuous" vertical="top"/>
    </xf>
    <xf numFmtId="3" fontId="5" fillId="0" borderId="11" xfId="16" applyNumberFormat="1" applyFont="1" applyBorder="1" applyAlignment="1">
      <alignment horizontal="right"/>
    </xf>
    <xf numFmtId="164" fontId="1" fillId="0" borderId="0" xfId="0" applyFont="1"/>
    <xf numFmtId="164" fontId="1" fillId="0" borderId="16" xfId="0" applyFont="1" applyBorder="1"/>
    <xf numFmtId="164" fontId="1" fillId="0" borderId="21" xfId="0" applyFont="1" applyFill="1" applyBorder="1"/>
    <xf numFmtId="164" fontId="1" fillId="0" borderId="0" xfId="0" applyFont="1" applyAlignment="1">
      <alignment horizontal="center"/>
    </xf>
    <xf numFmtId="164" fontId="1" fillId="0" borderId="16" xfId="0" applyFont="1" applyBorder="1" applyAlignment="1">
      <alignment horizontal="center"/>
    </xf>
    <xf numFmtId="164" fontId="1" fillId="0" borderId="2" xfId="0" applyFont="1" applyBorder="1"/>
    <xf numFmtId="164" fontId="1" fillId="0" borderId="0" xfId="0" applyFont="1" applyFill="1" applyBorder="1"/>
    <xf numFmtId="0" fontId="5" fillId="0" borderId="1" xfId="16" applyFont="1" applyBorder="1" applyAlignment="1">
      <alignment horizontal="center"/>
    </xf>
    <xf numFmtId="0" fontId="5" fillId="0" borderId="0" xfId="16" applyFont="1" applyAlignment="1">
      <alignment horizontal="center"/>
    </xf>
    <xf numFmtId="164" fontId="1" fillId="0" borderId="1" xfId="0" applyFont="1" applyBorder="1"/>
    <xf numFmtId="164" fontId="1" fillId="0" borderId="1" xfId="0" applyFont="1" applyFill="1" applyBorder="1"/>
    <xf numFmtId="37" fontId="3" fillId="0" borderId="34" xfId="19" applyNumberFormat="1" applyFont="1" applyBorder="1" applyAlignment="1" applyProtection="1">
      <alignment horizontal="left" vertical="top" wrapText="1"/>
    </xf>
    <xf numFmtId="37" fontId="3" fillId="20" borderId="38" xfId="19" applyNumberFormat="1" applyFont="1" applyFill="1" applyBorder="1" applyAlignment="1" applyProtection="1">
      <alignment vertical="top" wrapText="1"/>
      <protection locked="0"/>
    </xf>
    <xf numFmtId="37" fontId="3" fillId="20" borderId="34" xfId="19" applyNumberFormat="1" applyFont="1" applyFill="1" applyBorder="1" applyAlignment="1" applyProtection="1">
      <alignment vertical="top" wrapText="1"/>
      <protection locked="0"/>
    </xf>
    <xf numFmtId="0" fontId="3" fillId="0" borderId="34" xfId="0" applyNumberFormat="1" applyFont="1" applyFill="1" applyBorder="1" applyAlignment="1">
      <alignment vertical="top" wrapText="1"/>
    </xf>
    <xf numFmtId="37" fontId="3" fillId="0" borderId="39" xfId="19" applyNumberFormat="1" applyFont="1" applyFill="1" applyBorder="1" applyAlignment="1" applyProtection="1">
      <alignment vertical="top" wrapText="1"/>
    </xf>
    <xf numFmtId="164" fontId="3" fillId="0" borderId="39" xfId="3" applyFont="1" applyFill="1" applyBorder="1" applyAlignment="1">
      <alignment vertical="top" wrapText="1"/>
    </xf>
    <xf numFmtId="37" fontId="3" fillId="0" borderId="34" xfId="3" applyNumberFormat="1" applyFont="1" applyBorder="1" applyAlignment="1" applyProtection="1">
      <alignment horizontal="left" vertical="top" wrapText="1"/>
    </xf>
    <xf numFmtId="37" fontId="3" fillId="25" borderId="34" xfId="3" applyNumberFormat="1" applyFont="1" applyFill="1" applyBorder="1" applyAlignment="1" applyProtection="1">
      <alignment horizontal="left" vertical="top" wrapText="1"/>
      <protection locked="0"/>
    </xf>
    <xf numFmtId="164" fontId="3" fillId="25" borderId="34" xfId="3" applyNumberFormat="1" applyFont="1" applyFill="1" applyBorder="1" applyAlignment="1" applyProtection="1">
      <alignment horizontal="left" vertical="top" wrapText="1"/>
    </xf>
    <xf numFmtId="37" fontId="3" fillId="0" borderId="34" xfId="3" applyNumberFormat="1" applyFont="1" applyFill="1" applyBorder="1" applyAlignment="1" applyProtection="1">
      <alignment horizontal="left" vertical="top" wrapText="1"/>
      <protection locked="0"/>
    </xf>
    <xf numFmtId="164" fontId="3" fillId="0" borderId="34" xfId="3" applyNumberFormat="1" applyFont="1" applyFill="1" applyBorder="1" applyAlignment="1" applyProtection="1">
      <alignment horizontal="left" vertical="top" wrapText="1"/>
    </xf>
    <xf numFmtId="49" fontId="5" fillId="12" borderId="0" xfId="7" applyNumberFormat="1" applyFont="1" applyFill="1" applyBorder="1" applyAlignment="1">
      <alignment horizontal="left"/>
    </xf>
    <xf numFmtId="49" fontId="5" fillId="12" borderId="0" xfId="7" applyNumberFormat="1" applyFont="1" applyFill="1" applyBorder="1" applyAlignment="1">
      <alignment horizontal="center"/>
    </xf>
    <xf numFmtId="49" fontId="5" fillId="12" borderId="0" xfId="9" applyNumberFormat="1" applyFont="1" applyFill="1" applyBorder="1" applyAlignment="1" applyProtection="1">
      <alignment horizontal="center"/>
    </xf>
    <xf numFmtId="0" fontId="5" fillId="27" borderId="0" xfId="3" applyNumberFormat="1" applyFont="1" applyFill="1" applyBorder="1" applyAlignment="1"/>
    <xf numFmtId="49" fontId="5" fillId="12" borderId="0" xfId="9" applyNumberFormat="1" applyFont="1" applyFill="1" applyBorder="1" applyAlignment="1">
      <alignment horizontal="left"/>
    </xf>
    <xf numFmtId="0" fontId="5" fillId="12" borderId="0" xfId="13" applyNumberFormat="1" applyFont="1" applyFill="1" applyBorder="1" applyAlignment="1"/>
    <xf numFmtId="164" fontId="8" fillId="0" borderId="42" xfId="5" applyFont="1" applyFill="1" applyBorder="1"/>
    <xf numFmtId="164" fontId="5" fillId="0" borderId="35" xfId="5" applyFont="1" applyFill="1" applyBorder="1" applyAlignment="1">
      <alignment horizontal="right"/>
    </xf>
    <xf numFmtId="3" fontId="13" fillId="28" borderId="11" xfId="0" applyNumberFormat="1" applyFont="1" applyFill="1" applyBorder="1" applyAlignment="1">
      <alignment horizontal="right"/>
    </xf>
    <xf numFmtId="3" fontId="8" fillId="28" borderId="43" xfId="2" applyNumberFormat="1" applyFont="1" applyFill="1" applyBorder="1" applyAlignment="1">
      <alignment horizontal="right"/>
    </xf>
    <xf numFmtId="164" fontId="8" fillId="0" borderId="35" xfId="5" applyNumberFormat="1" applyFont="1" applyFill="1" applyBorder="1" applyAlignment="1">
      <alignment horizontal="centerContinuous" wrapText="1"/>
    </xf>
    <xf numFmtId="164" fontId="8" fillId="0" borderId="11" xfId="2" applyNumberFormat="1" applyFont="1" applyFill="1" applyBorder="1" applyAlignment="1">
      <alignment horizontal="right"/>
    </xf>
    <xf numFmtId="164" fontId="8" fillId="0" borderId="11" xfId="2" applyNumberFormat="1" applyFont="1" applyFill="1" applyBorder="1" applyAlignment="1">
      <alignment horizontal="right" vertical="center"/>
    </xf>
    <xf numFmtId="164" fontId="8" fillId="0" borderId="32" xfId="2" applyNumberFormat="1" applyFont="1" applyFill="1" applyBorder="1" applyAlignment="1">
      <alignment horizontal="right"/>
    </xf>
    <xf numFmtId="164" fontId="8" fillId="0" borderId="11" xfId="2" applyNumberFormat="1" applyFont="1" applyFill="1" applyBorder="1" applyAlignment="1">
      <alignment horizontal="right" vertical="top"/>
    </xf>
    <xf numFmtId="164" fontId="8" fillId="26" borderId="43" xfId="2" applyNumberFormat="1" applyFont="1" applyFill="1" applyBorder="1" applyAlignment="1">
      <alignment horizontal="right"/>
    </xf>
    <xf numFmtId="164" fontId="8" fillId="0" borderId="0" xfId="5" applyNumberFormat="1" applyFont="1" applyFill="1" applyBorder="1"/>
    <xf numFmtId="164" fontId="5" fillId="0" borderId="0" xfId="5" applyNumberFormat="1" applyFont="1" applyFill="1" applyBorder="1"/>
    <xf numFmtId="164" fontId="8" fillId="0" borderId="38" xfId="5" applyNumberFormat="1" applyFont="1" applyFill="1" applyBorder="1" applyAlignment="1">
      <alignment horizontal="center" wrapText="1"/>
    </xf>
    <xf numFmtId="164" fontId="9" fillId="0" borderId="0" xfId="0" applyFont="1" applyFill="1"/>
    <xf numFmtId="0" fontId="7" fillId="0" borderId="3" xfId="16" applyFont="1" applyBorder="1" applyAlignment="1" applyProtection="1">
      <alignment horizontal="centerContinuous" wrapText="1"/>
    </xf>
    <xf numFmtId="0" fontId="7" fillId="0" borderId="35" xfId="16" applyFont="1" applyBorder="1" applyAlignment="1" applyProtection="1">
      <alignment horizontal="centerContinuous" wrapText="1"/>
    </xf>
    <xf numFmtId="0" fontId="7" fillId="0" borderId="41" xfId="16" applyFont="1" applyBorder="1" applyAlignment="1" applyProtection="1">
      <alignment horizontal="centerContinuous" wrapText="1"/>
    </xf>
    <xf numFmtId="0" fontId="7" fillId="0" borderId="37" xfId="16" applyFont="1" applyBorder="1" applyAlignment="1" applyProtection="1">
      <alignment horizontal="centerContinuous" wrapText="1"/>
    </xf>
    <xf numFmtId="0" fontId="39" fillId="0" borderId="37" xfId="21" applyFont="1" applyBorder="1" applyAlignment="1">
      <alignment horizontal="centerContinuous"/>
    </xf>
    <xf numFmtId="0" fontId="39" fillId="0" borderId="37" xfId="21" applyFont="1" applyFill="1" applyBorder="1" applyAlignment="1">
      <alignment horizontal="centerContinuous"/>
    </xf>
    <xf numFmtId="0" fontId="7" fillId="0" borderId="42" xfId="16" applyFont="1" applyBorder="1" applyAlignment="1" applyProtection="1">
      <alignment horizontal="centerContinuous" wrapText="1"/>
    </xf>
    <xf numFmtId="0" fontId="7" fillId="0" borderId="24" xfId="16" applyFont="1" applyBorder="1" applyAlignment="1" applyProtection="1">
      <alignment horizontal="centerContinuous" wrapText="1"/>
    </xf>
    <xf numFmtId="0" fontId="39" fillId="0" borderId="3" xfId="21" applyFont="1" applyBorder="1" applyAlignment="1">
      <alignment horizontal="centerContinuous"/>
    </xf>
    <xf numFmtId="0" fontId="39" fillId="0" borderId="3" xfId="21" applyFont="1" applyFill="1" applyBorder="1" applyAlignment="1">
      <alignment horizontal="centerContinuous"/>
    </xf>
    <xf numFmtId="3" fontId="7" fillId="0" borderId="3" xfId="16" applyNumberFormat="1" applyFont="1" applyFill="1" applyBorder="1" applyAlignment="1">
      <alignment horizontal="center"/>
    </xf>
    <xf numFmtId="3" fontId="7" fillId="0" borderId="24" xfId="16" applyNumberFormat="1" applyFont="1" applyFill="1" applyBorder="1" applyAlignment="1">
      <alignment horizontal="center"/>
    </xf>
    <xf numFmtId="3" fontId="7" fillId="0" borderId="24" xfId="16" applyNumberFormat="1" applyFont="1" applyFill="1" applyBorder="1" applyAlignment="1">
      <alignment horizontal="right"/>
    </xf>
    <xf numFmtId="3" fontId="7" fillId="0" borderId="3" xfId="16" applyNumberFormat="1" applyFont="1" applyFill="1" applyBorder="1" applyAlignment="1">
      <alignment horizontal="right"/>
    </xf>
    <xf numFmtId="0" fontId="5" fillId="0" borderId="0" xfId="16" applyFont="1" applyFill="1" applyAlignment="1">
      <alignment horizontal="right"/>
    </xf>
    <xf numFmtId="9" fontId="5" fillId="0" borderId="0" xfId="22" applyFont="1" applyFill="1" applyBorder="1" applyAlignment="1">
      <alignment horizontal="right"/>
    </xf>
    <xf numFmtId="165" fontId="27" fillId="0" borderId="0" xfId="23" quotePrefix="1" applyNumberFormat="1" applyFont="1" applyFill="1" applyBorder="1" applyAlignment="1">
      <alignment horizontal="right"/>
    </xf>
    <xf numFmtId="0" fontId="5" fillId="0" borderId="0" xfId="21" applyFont="1" applyAlignment="1">
      <alignment horizontal="right"/>
    </xf>
    <xf numFmtId="165" fontId="27" fillId="0" borderId="0" xfId="28" quotePrefix="1" applyNumberFormat="1" applyFont="1" applyFill="1" applyBorder="1" applyAlignment="1">
      <alignment horizontal="right"/>
    </xf>
    <xf numFmtId="9" fontId="5" fillId="0" borderId="24" xfId="22" applyFont="1" applyFill="1" applyBorder="1" applyAlignment="1">
      <alignment horizontal="right"/>
    </xf>
    <xf numFmtId="9" fontId="5" fillId="0" borderId="44" xfId="22" applyFont="1" applyFill="1" applyBorder="1" applyAlignment="1">
      <alignment horizontal="right"/>
    </xf>
    <xf numFmtId="9" fontId="5" fillId="0" borderId="21" xfId="22" applyFont="1" applyFill="1" applyBorder="1" applyAlignment="1">
      <alignment horizontal="right"/>
    </xf>
    <xf numFmtId="0" fontId="5" fillId="0" borderId="21" xfId="21" applyFont="1" applyBorder="1" applyAlignment="1">
      <alignment horizontal="right"/>
    </xf>
    <xf numFmtId="9" fontId="5" fillId="0" borderId="11" xfId="22" applyFont="1" applyBorder="1" applyAlignment="1">
      <alignment horizontal="right"/>
    </xf>
    <xf numFmtId="9" fontId="5" fillId="0" borderId="0" xfId="22" applyFont="1" applyAlignment="1">
      <alignment horizontal="right"/>
    </xf>
    <xf numFmtId="9" fontId="5" fillId="0" borderId="11" xfId="22" applyFont="1" applyFill="1" applyBorder="1" applyAlignment="1">
      <alignment horizontal="right"/>
    </xf>
    <xf numFmtId="165" fontId="27" fillId="0" borderId="0" xfId="23" quotePrefix="1" applyNumberFormat="1" applyFont="1" applyFill="1" applyAlignment="1">
      <alignment horizontal="right"/>
    </xf>
    <xf numFmtId="167" fontId="5" fillId="0" borderId="41" xfId="22" applyNumberFormat="1" applyFont="1" applyBorder="1" applyAlignment="1">
      <alignment horizontal="right"/>
    </xf>
    <xf numFmtId="167" fontId="8" fillId="0" borderId="37" xfId="22" applyNumberFormat="1" applyFont="1" applyBorder="1" applyAlignment="1">
      <alignment horizontal="right"/>
    </xf>
    <xf numFmtId="167" fontId="5" fillId="0" borderId="0" xfId="22" applyNumberFormat="1" applyFont="1" applyBorder="1" applyAlignment="1">
      <alignment horizontal="right"/>
    </xf>
    <xf numFmtId="9" fontId="8" fillId="0" borderId="40" xfId="22" applyFont="1" applyBorder="1" applyAlignment="1">
      <alignment horizontal="right"/>
    </xf>
    <xf numFmtId="1" fontId="27" fillId="0" borderId="0" xfId="22" applyNumberFormat="1" applyFont="1" applyFill="1" applyAlignment="1">
      <alignment horizontal="right"/>
    </xf>
    <xf numFmtId="165" fontId="27" fillId="0" borderId="11" xfId="23" quotePrefix="1" applyNumberFormat="1" applyFont="1" applyFill="1" applyBorder="1" applyAlignment="1">
      <alignment horizontal="right"/>
    </xf>
    <xf numFmtId="166" fontId="5" fillId="0" borderId="0" xfId="22" applyNumberFormat="1" applyFont="1" applyFill="1" applyAlignment="1">
      <alignment horizontal="right"/>
    </xf>
    <xf numFmtId="0" fontId="5" fillId="0" borderId="0" xfId="21" applyFont="1" applyBorder="1" applyAlignment="1">
      <alignment horizontal="right"/>
    </xf>
    <xf numFmtId="166" fontId="5" fillId="0" borderId="0" xfId="22" applyNumberFormat="1" applyFont="1" applyFill="1" applyBorder="1" applyAlignment="1">
      <alignment horizontal="right"/>
    </xf>
    <xf numFmtId="166" fontId="5" fillId="0" borderId="21" xfId="22" applyNumberFormat="1" applyFont="1" applyFill="1" applyBorder="1" applyAlignment="1">
      <alignment horizontal="right"/>
    </xf>
    <xf numFmtId="1" fontId="5" fillId="0" borderId="21" xfId="22" applyNumberFormat="1" applyFont="1" applyFill="1" applyBorder="1" applyAlignment="1">
      <alignment horizontal="right"/>
    </xf>
    <xf numFmtId="1" fontId="5" fillId="0" borderId="0" xfId="22" applyNumberFormat="1" applyFont="1" applyFill="1" applyBorder="1" applyAlignment="1">
      <alignment horizontal="right"/>
    </xf>
    <xf numFmtId="1" fontId="5" fillId="0" borderId="0" xfId="22" applyNumberFormat="1" applyFont="1" applyFill="1" applyAlignment="1">
      <alignment horizontal="right"/>
    </xf>
    <xf numFmtId="0" fontId="7" fillId="0" borderId="20" xfId="16" applyFont="1" applyBorder="1" applyAlignment="1" applyProtection="1">
      <alignment horizontal="center" wrapText="1"/>
    </xf>
    <xf numFmtId="37" fontId="6" fillId="0" borderId="44" xfId="19" applyNumberFormat="1" applyFont="1" applyBorder="1" applyAlignment="1" applyProtection="1">
      <alignment horizontal="centerContinuous" vertical="top"/>
    </xf>
    <xf numFmtId="0" fontId="28" fillId="0" borderId="0" xfId="16" applyFont="1" applyFill="1" applyBorder="1" applyAlignment="1">
      <alignment wrapText="1"/>
    </xf>
    <xf numFmtId="164" fontId="9" fillId="0" borderId="0" xfId="0" applyFont="1" applyFill="1"/>
    <xf numFmtId="1" fontId="5" fillId="0" borderId="21" xfId="22" applyNumberFormat="1" applyFont="1" applyFill="1" applyBorder="1" applyAlignment="1">
      <alignment horizontal="right"/>
    </xf>
    <xf numFmtId="1" fontId="5" fillId="0" borderId="0" xfId="22" applyNumberFormat="1" applyFont="1" applyFill="1" applyBorder="1" applyAlignment="1">
      <alignment horizontal="right"/>
    </xf>
    <xf numFmtId="164" fontId="3" fillId="0" borderId="0" xfId="0" applyFont="1" applyAlignment="1">
      <alignment vertical="top" wrapText="1"/>
    </xf>
    <xf numFmtId="0" fontId="4" fillId="0" borderId="0" xfId="16" applyFont="1" applyAlignment="1">
      <alignment horizontal="center"/>
    </xf>
    <xf numFmtId="0" fontId="6" fillId="0" borderId="0" xfId="16" applyFont="1" applyAlignment="1">
      <alignment horizontal="center"/>
    </xf>
    <xf numFmtId="0" fontId="3" fillId="0" borderId="0" xfId="1" applyNumberFormat="1" applyFont="1" applyFill="1" applyAlignment="1">
      <alignment vertical="top" wrapText="1"/>
    </xf>
    <xf numFmtId="49" fontId="5" fillId="12" borderId="29" xfId="9" applyNumberFormat="1" applyFont="1" applyFill="1" applyBorder="1" applyAlignment="1">
      <alignment horizontal="center"/>
    </xf>
    <xf numFmtId="49" fontId="5" fillId="16" borderId="21" xfId="17" applyNumberFormat="1" applyFont="1" applyFill="1" applyBorder="1" applyAlignment="1">
      <alignment horizontal="center"/>
    </xf>
    <xf numFmtId="49" fontId="5" fillId="2" borderId="29" xfId="7" applyNumberFormat="1" applyFont="1" applyFill="1" applyBorder="1" applyAlignment="1">
      <alignment horizontal="center"/>
    </xf>
    <xf numFmtId="49" fontId="5" fillId="7" borderId="29" xfId="10" applyNumberFormat="1" applyFont="1" applyFill="1" applyBorder="1" applyAlignment="1">
      <alignment horizontal="center"/>
    </xf>
    <xf numFmtId="49" fontId="5" fillId="2" borderId="21" xfId="7" applyNumberFormat="1" applyFont="1" applyFill="1" applyBorder="1" applyAlignment="1">
      <alignment horizontal="center"/>
    </xf>
    <xf numFmtId="49" fontId="5" fillId="7" borderId="11" xfId="17" applyNumberFormat="1" applyFont="1" applyFill="1" applyBorder="1" applyAlignment="1" applyProtection="1">
      <alignment horizontal="center"/>
    </xf>
  </cellXfs>
  <cellStyles count="29">
    <cellStyle name="Comma" xfId="1" builtinId="3"/>
    <cellStyle name="Comma 2" xfId="2"/>
    <cellStyle name="Comma 3" xfId="23"/>
    <cellStyle name="Comma 3 2" xfId="28"/>
    <cellStyle name="Normal" xfId="0" builtinId="0"/>
    <cellStyle name="Normal 2" xfId="3"/>
    <cellStyle name="Normal 2 2" xfId="24"/>
    <cellStyle name="Normal 2 3" xfId="25"/>
    <cellStyle name="Normal 3" xfId="4"/>
    <cellStyle name="Normal 4" xfId="5"/>
    <cellStyle name="Normal_03SCH&amp;FTE05" xfId="6"/>
    <cellStyle name="Normal_06-07Tuition05" xfId="7"/>
    <cellStyle name="Normal_Benefits02 Form" xfId="8"/>
    <cellStyle name="Normal_Benefits02 Form 2" xfId="26"/>
    <cellStyle name="Normal_Degree02 Form" xfId="9"/>
    <cellStyle name="Normal_Degrees02 Form" xfId="10"/>
    <cellStyle name="Normal_Degrees02 Form 2" xfId="27"/>
    <cellStyle name="Normal_Funding02 Form" xfId="11"/>
    <cellStyle name="Normal_JP - SREB Part 5,6 &amp; 7 Final" xfId="20"/>
    <cellStyle name="Normal_NC CCS 1,3,6-10 08" xfId="21"/>
    <cellStyle name="Normal_SCH&amp;FTE02 Form" xfId="12"/>
    <cellStyle name="Normal_SCH&amp;FTE03 Form" xfId="13"/>
    <cellStyle name="Normal_StProg01B" xfId="14"/>
    <cellStyle name="Normal_StProg02 Form" xfId="15"/>
    <cellStyle name="Normal_Tuit98" xfId="19"/>
    <cellStyle name="Normal_Tuition Tables" xfId="16"/>
    <cellStyle name="Normal_Tuition02 Form" xfId="17"/>
    <cellStyle name="Percent" xfId="18" builtinId="5"/>
    <cellStyle name="Percent 2" xfId="22"/>
  </cellStyles>
  <dxfs count="40">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FFCC66"/>
      <color rgb="FF00FF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indexed="16"/>
    <pageSetUpPr fitToPage="1"/>
  </sheetPr>
  <dimension ref="A1:P52"/>
  <sheetViews>
    <sheetView showGridLines="0" tabSelected="1" view="pageBreakPreview" zoomScaleNormal="100" zoomScaleSheetLayoutView="100" workbookViewId="0">
      <selection activeCell="G34" sqref="G34"/>
    </sheetView>
  </sheetViews>
  <sheetFormatPr defaultColWidth="8" defaultRowHeight="12.75"/>
  <cols>
    <col min="1" max="1" width="27.75" style="276" customWidth="1"/>
    <col min="2" max="2" width="12.5" style="276" customWidth="1"/>
    <col min="3" max="3" width="1.5" style="276" customWidth="1"/>
    <col min="4" max="6" width="13.125" style="276" bestFit="1" customWidth="1"/>
    <col min="7" max="7" width="8" style="276" customWidth="1"/>
    <col min="8" max="8" width="1.25" style="276" customWidth="1"/>
    <col min="9" max="9" width="9.125" style="276" customWidth="1"/>
    <col min="10" max="10" width="1.125" style="276" customWidth="1"/>
    <col min="11" max="11" width="8" style="276" customWidth="1"/>
    <col min="12" max="12" width="1.25" style="276" customWidth="1"/>
    <col min="13" max="13" width="9.875" style="276" customWidth="1"/>
    <col min="14" max="256" width="8" style="276"/>
    <col min="257" max="257" width="12.5" style="276" customWidth="1"/>
    <col min="258" max="258" width="26.875" style="276" bestFit="1" customWidth="1"/>
    <col min="259" max="259" width="1.5" style="276" customWidth="1"/>
    <col min="260" max="260" width="10.25" style="276" bestFit="1" customWidth="1"/>
    <col min="261" max="261" width="8" style="276" customWidth="1"/>
    <col min="262" max="262" width="9.875" style="276" customWidth="1"/>
    <col min="263" max="263" width="8" style="276" customWidth="1"/>
    <col min="264" max="264" width="1.25" style="276" customWidth="1"/>
    <col min="265" max="265" width="8" style="276" customWidth="1"/>
    <col min="266" max="266" width="1.625" style="276" customWidth="1"/>
    <col min="267" max="267" width="8" style="276" customWidth="1"/>
    <col min="268" max="268" width="1.25" style="276" customWidth="1"/>
    <col min="269" max="269" width="9.875" style="276" customWidth="1"/>
    <col min="270" max="512" width="8" style="276"/>
    <col min="513" max="513" width="12.5" style="276" customWidth="1"/>
    <col min="514" max="514" width="26.875" style="276" bestFit="1" customWidth="1"/>
    <col min="515" max="515" width="1.5" style="276" customWidth="1"/>
    <col min="516" max="516" width="10.25" style="276" bestFit="1" customWidth="1"/>
    <col min="517" max="517" width="8" style="276" customWidth="1"/>
    <col min="518" max="518" width="9.875" style="276" customWidth="1"/>
    <col min="519" max="519" width="8" style="276" customWidth="1"/>
    <col min="520" max="520" width="1.25" style="276" customWidth="1"/>
    <col min="521" max="521" width="8" style="276" customWidth="1"/>
    <col min="522" max="522" width="1.625" style="276" customWidth="1"/>
    <col min="523" max="523" width="8" style="276" customWidth="1"/>
    <col min="524" max="524" width="1.25" style="276" customWidth="1"/>
    <col min="525" max="525" width="9.875" style="276" customWidth="1"/>
    <col min="526" max="768" width="8" style="276"/>
    <col min="769" max="769" width="12.5" style="276" customWidth="1"/>
    <col min="770" max="770" width="26.875" style="276" bestFit="1" customWidth="1"/>
    <col min="771" max="771" width="1.5" style="276" customWidth="1"/>
    <col min="772" max="772" width="10.25" style="276" bestFit="1" customWidth="1"/>
    <col min="773" max="773" width="8" style="276" customWidth="1"/>
    <col min="774" max="774" width="9.875" style="276" customWidth="1"/>
    <col min="775" max="775" width="8" style="276" customWidth="1"/>
    <col min="776" max="776" width="1.25" style="276" customWidth="1"/>
    <col min="777" max="777" width="8" style="276" customWidth="1"/>
    <col min="778" max="778" width="1.625" style="276" customWidth="1"/>
    <col min="779" max="779" width="8" style="276" customWidth="1"/>
    <col min="780" max="780" width="1.25" style="276" customWidth="1"/>
    <col min="781" max="781" width="9.875" style="276" customWidth="1"/>
    <col min="782" max="1024" width="8" style="276"/>
    <col min="1025" max="1025" width="12.5" style="276" customWidth="1"/>
    <col min="1026" max="1026" width="26.875" style="276" bestFit="1" customWidth="1"/>
    <col min="1027" max="1027" width="1.5" style="276" customWidth="1"/>
    <col min="1028" max="1028" width="10.25" style="276" bestFit="1" customWidth="1"/>
    <col min="1029" max="1029" width="8" style="276" customWidth="1"/>
    <col min="1030" max="1030" width="9.875" style="276" customWidth="1"/>
    <col min="1031" max="1031" width="8" style="276" customWidth="1"/>
    <col min="1032" max="1032" width="1.25" style="276" customWidth="1"/>
    <col min="1033" max="1033" width="8" style="276" customWidth="1"/>
    <col min="1034" max="1034" width="1.625" style="276" customWidth="1"/>
    <col min="1035" max="1035" width="8" style="276" customWidth="1"/>
    <col min="1036" max="1036" width="1.25" style="276" customWidth="1"/>
    <col min="1037" max="1037" width="9.875" style="276" customWidth="1"/>
    <col min="1038" max="1280" width="8" style="276"/>
    <col min="1281" max="1281" width="12.5" style="276" customWidth="1"/>
    <col min="1282" max="1282" width="26.875" style="276" bestFit="1" customWidth="1"/>
    <col min="1283" max="1283" width="1.5" style="276" customWidth="1"/>
    <col min="1284" max="1284" width="10.25" style="276" bestFit="1" customWidth="1"/>
    <col min="1285" max="1285" width="8" style="276" customWidth="1"/>
    <col min="1286" max="1286" width="9.875" style="276" customWidth="1"/>
    <col min="1287" max="1287" width="8" style="276" customWidth="1"/>
    <col min="1288" max="1288" width="1.25" style="276" customWidth="1"/>
    <col min="1289" max="1289" width="8" style="276" customWidth="1"/>
    <col min="1290" max="1290" width="1.625" style="276" customWidth="1"/>
    <col min="1291" max="1291" width="8" style="276" customWidth="1"/>
    <col min="1292" max="1292" width="1.25" style="276" customWidth="1"/>
    <col min="1293" max="1293" width="9.875" style="276" customWidth="1"/>
    <col min="1294" max="1536" width="8" style="276"/>
    <col min="1537" max="1537" width="12.5" style="276" customWidth="1"/>
    <col min="1538" max="1538" width="26.875" style="276" bestFit="1" customWidth="1"/>
    <col min="1539" max="1539" width="1.5" style="276" customWidth="1"/>
    <col min="1540" max="1540" width="10.25" style="276" bestFit="1" customWidth="1"/>
    <col min="1541" max="1541" width="8" style="276" customWidth="1"/>
    <col min="1542" max="1542" width="9.875" style="276" customWidth="1"/>
    <col min="1543" max="1543" width="8" style="276" customWidth="1"/>
    <col min="1544" max="1544" width="1.25" style="276" customWidth="1"/>
    <col min="1545" max="1545" width="8" style="276" customWidth="1"/>
    <col min="1546" max="1546" width="1.625" style="276" customWidth="1"/>
    <col min="1547" max="1547" width="8" style="276" customWidth="1"/>
    <col min="1548" max="1548" width="1.25" style="276" customWidth="1"/>
    <col min="1549" max="1549" width="9.875" style="276" customWidth="1"/>
    <col min="1550" max="1792" width="8" style="276"/>
    <col min="1793" max="1793" width="12.5" style="276" customWidth="1"/>
    <col min="1794" max="1794" width="26.875" style="276" bestFit="1" customWidth="1"/>
    <col min="1795" max="1795" width="1.5" style="276" customWidth="1"/>
    <col min="1796" max="1796" width="10.25" style="276" bestFit="1" customWidth="1"/>
    <col min="1797" max="1797" width="8" style="276" customWidth="1"/>
    <col min="1798" max="1798" width="9.875" style="276" customWidth="1"/>
    <col min="1799" max="1799" width="8" style="276" customWidth="1"/>
    <col min="1800" max="1800" width="1.25" style="276" customWidth="1"/>
    <col min="1801" max="1801" width="8" style="276" customWidth="1"/>
    <col min="1802" max="1802" width="1.625" style="276" customWidth="1"/>
    <col min="1803" max="1803" width="8" style="276" customWidth="1"/>
    <col min="1804" max="1804" width="1.25" style="276" customWidth="1"/>
    <col min="1805" max="1805" width="9.875" style="276" customWidth="1"/>
    <col min="1806" max="2048" width="8" style="276"/>
    <col min="2049" max="2049" width="12.5" style="276" customWidth="1"/>
    <col min="2050" max="2050" width="26.875" style="276" bestFit="1" customWidth="1"/>
    <col min="2051" max="2051" width="1.5" style="276" customWidth="1"/>
    <col min="2052" max="2052" width="10.25" style="276" bestFit="1" customWidth="1"/>
    <col min="2053" max="2053" width="8" style="276" customWidth="1"/>
    <col min="2054" max="2054" width="9.875" style="276" customWidth="1"/>
    <col min="2055" max="2055" width="8" style="276" customWidth="1"/>
    <col min="2056" max="2056" width="1.25" style="276" customWidth="1"/>
    <col min="2057" max="2057" width="8" style="276" customWidth="1"/>
    <col min="2058" max="2058" width="1.625" style="276" customWidth="1"/>
    <col min="2059" max="2059" width="8" style="276" customWidth="1"/>
    <col min="2060" max="2060" width="1.25" style="276" customWidth="1"/>
    <col min="2061" max="2061" width="9.875" style="276" customWidth="1"/>
    <col min="2062" max="2304" width="8" style="276"/>
    <col min="2305" max="2305" width="12.5" style="276" customWidth="1"/>
    <col min="2306" max="2306" width="26.875" style="276" bestFit="1" customWidth="1"/>
    <col min="2307" max="2307" width="1.5" style="276" customWidth="1"/>
    <col min="2308" max="2308" width="10.25" style="276" bestFit="1" customWidth="1"/>
    <col min="2309" max="2309" width="8" style="276" customWidth="1"/>
    <col min="2310" max="2310" width="9.875" style="276" customWidth="1"/>
    <col min="2311" max="2311" width="8" style="276" customWidth="1"/>
    <col min="2312" max="2312" width="1.25" style="276" customWidth="1"/>
    <col min="2313" max="2313" width="8" style="276" customWidth="1"/>
    <col min="2314" max="2314" width="1.625" style="276" customWidth="1"/>
    <col min="2315" max="2315" width="8" style="276" customWidth="1"/>
    <col min="2316" max="2316" width="1.25" style="276" customWidth="1"/>
    <col min="2317" max="2317" width="9.875" style="276" customWidth="1"/>
    <col min="2318" max="2560" width="8" style="276"/>
    <col min="2561" max="2561" width="12.5" style="276" customWidth="1"/>
    <col min="2562" max="2562" width="26.875" style="276" bestFit="1" customWidth="1"/>
    <col min="2563" max="2563" width="1.5" style="276" customWidth="1"/>
    <col min="2564" max="2564" width="10.25" style="276" bestFit="1" customWidth="1"/>
    <col min="2565" max="2565" width="8" style="276" customWidth="1"/>
    <col min="2566" max="2566" width="9.875" style="276" customWidth="1"/>
    <col min="2567" max="2567" width="8" style="276" customWidth="1"/>
    <col min="2568" max="2568" width="1.25" style="276" customWidth="1"/>
    <col min="2569" max="2569" width="8" style="276" customWidth="1"/>
    <col min="2570" max="2570" width="1.625" style="276" customWidth="1"/>
    <col min="2571" max="2571" width="8" style="276" customWidth="1"/>
    <col min="2572" max="2572" width="1.25" style="276" customWidth="1"/>
    <col min="2573" max="2573" width="9.875" style="276" customWidth="1"/>
    <col min="2574" max="2816" width="8" style="276"/>
    <col min="2817" max="2817" width="12.5" style="276" customWidth="1"/>
    <col min="2818" max="2818" width="26.875" style="276" bestFit="1" customWidth="1"/>
    <col min="2819" max="2819" width="1.5" style="276" customWidth="1"/>
    <col min="2820" max="2820" width="10.25" style="276" bestFit="1" customWidth="1"/>
    <col min="2821" max="2821" width="8" style="276" customWidth="1"/>
    <col min="2822" max="2822" width="9.875" style="276" customWidth="1"/>
    <col min="2823" max="2823" width="8" style="276" customWidth="1"/>
    <col min="2824" max="2824" width="1.25" style="276" customWidth="1"/>
    <col min="2825" max="2825" width="8" style="276" customWidth="1"/>
    <col min="2826" max="2826" width="1.625" style="276" customWidth="1"/>
    <col min="2827" max="2827" width="8" style="276" customWidth="1"/>
    <col min="2828" max="2828" width="1.25" style="276" customWidth="1"/>
    <col min="2829" max="2829" width="9.875" style="276" customWidth="1"/>
    <col min="2830" max="3072" width="8" style="276"/>
    <col min="3073" max="3073" width="12.5" style="276" customWidth="1"/>
    <col min="3074" max="3074" width="26.875" style="276" bestFit="1" customWidth="1"/>
    <col min="3075" max="3075" width="1.5" style="276" customWidth="1"/>
    <col min="3076" max="3076" width="10.25" style="276" bestFit="1" customWidth="1"/>
    <col min="3077" max="3077" width="8" style="276" customWidth="1"/>
    <col min="3078" max="3078" width="9.875" style="276" customWidth="1"/>
    <col min="3079" max="3079" width="8" style="276" customWidth="1"/>
    <col min="3080" max="3080" width="1.25" style="276" customWidth="1"/>
    <col min="3081" max="3081" width="8" style="276" customWidth="1"/>
    <col min="3082" max="3082" width="1.625" style="276" customWidth="1"/>
    <col min="3083" max="3083" width="8" style="276" customWidth="1"/>
    <col min="3084" max="3084" width="1.25" style="276" customWidth="1"/>
    <col min="3085" max="3085" width="9.875" style="276" customWidth="1"/>
    <col min="3086" max="3328" width="8" style="276"/>
    <col min="3329" max="3329" width="12.5" style="276" customWidth="1"/>
    <col min="3330" max="3330" width="26.875" style="276" bestFit="1" customWidth="1"/>
    <col min="3331" max="3331" width="1.5" style="276" customWidth="1"/>
    <col min="3332" max="3332" width="10.25" style="276" bestFit="1" customWidth="1"/>
    <col min="3333" max="3333" width="8" style="276" customWidth="1"/>
    <col min="3334" max="3334" width="9.875" style="276" customWidth="1"/>
    <col min="3335" max="3335" width="8" style="276" customWidth="1"/>
    <col min="3336" max="3336" width="1.25" style="276" customWidth="1"/>
    <col min="3337" max="3337" width="8" style="276" customWidth="1"/>
    <col min="3338" max="3338" width="1.625" style="276" customWidth="1"/>
    <col min="3339" max="3339" width="8" style="276" customWidth="1"/>
    <col min="3340" max="3340" width="1.25" style="276" customWidth="1"/>
    <col min="3341" max="3341" width="9.875" style="276" customWidth="1"/>
    <col min="3342" max="3584" width="8" style="276"/>
    <col min="3585" max="3585" width="12.5" style="276" customWidth="1"/>
    <col min="3586" max="3586" width="26.875" style="276" bestFit="1" customWidth="1"/>
    <col min="3587" max="3587" width="1.5" style="276" customWidth="1"/>
    <col min="3588" max="3588" width="10.25" style="276" bestFit="1" customWidth="1"/>
    <col min="3589" max="3589" width="8" style="276" customWidth="1"/>
    <col min="3590" max="3590" width="9.875" style="276" customWidth="1"/>
    <col min="3591" max="3591" width="8" style="276" customWidth="1"/>
    <col min="3592" max="3592" width="1.25" style="276" customWidth="1"/>
    <col min="3593" max="3593" width="8" style="276" customWidth="1"/>
    <col min="3594" max="3594" width="1.625" style="276" customWidth="1"/>
    <col min="3595" max="3595" width="8" style="276" customWidth="1"/>
    <col min="3596" max="3596" width="1.25" style="276" customWidth="1"/>
    <col min="3597" max="3597" width="9.875" style="276" customWidth="1"/>
    <col min="3598" max="3840" width="8" style="276"/>
    <col min="3841" max="3841" width="12.5" style="276" customWidth="1"/>
    <col min="3842" max="3842" width="26.875" style="276" bestFit="1" customWidth="1"/>
    <col min="3843" max="3843" width="1.5" style="276" customWidth="1"/>
    <col min="3844" max="3844" width="10.25" style="276" bestFit="1" customWidth="1"/>
    <col min="3845" max="3845" width="8" style="276" customWidth="1"/>
    <col min="3846" max="3846" width="9.875" style="276" customWidth="1"/>
    <col min="3847" max="3847" width="8" style="276" customWidth="1"/>
    <col min="3848" max="3848" width="1.25" style="276" customWidth="1"/>
    <col min="3849" max="3849" width="8" style="276" customWidth="1"/>
    <col min="3850" max="3850" width="1.625" style="276" customWidth="1"/>
    <col min="3851" max="3851" width="8" style="276" customWidth="1"/>
    <col min="3852" max="3852" width="1.25" style="276" customWidth="1"/>
    <col min="3853" max="3853" width="9.875" style="276" customWidth="1"/>
    <col min="3854" max="4096" width="8" style="276"/>
    <col min="4097" max="4097" width="12.5" style="276" customWidth="1"/>
    <col min="4098" max="4098" width="26.875" style="276" bestFit="1" customWidth="1"/>
    <col min="4099" max="4099" width="1.5" style="276" customWidth="1"/>
    <col min="4100" max="4100" width="10.25" style="276" bestFit="1" customWidth="1"/>
    <col min="4101" max="4101" width="8" style="276" customWidth="1"/>
    <col min="4102" max="4102" width="9.875" style="276" customWidth="1"/>
    <col min="4103" max="4103" width="8" style="276" customWidth="1"/>
    <col min="4104" max="4104" width="1.25" style="276" customWidth="1"/>
    <col min="4105" max="4105" width="8" style="276" customWidth="1"/>
    <col min="4106" max="4106" width="1.625" style="276" customWidth="1"/>
    <col min="4107" max="4107" width="8" style="276" customWidth="1"/>
    <col min="4108" max="4108" width="1.25" style="276" customWidth="1"/>
    <col min="4109" max="4109" width="9.875" style="276" customWidth="1"/>
    <col min="4110" max="4352" width="8" style="276"/>
    <col min="4353" max="4353" width="12.5" style="276" customWidth="1"/>
    <col min="4354" max="4354" width="26.875" style="276" bestFit="1" customWidth="1"/>
    <col min="4355" max="4355" width="1.5" style="276" customWidth="1"/>
    <col min="4356" max="4356" width="10.25" style="276" bestFit="1" customWidth="1"/>
    <col min="4357" max="4357" width="8" style="276" customWidth="1"/>
    <col min="4358" max="4358" width="9.875" style="276" customWidth="1"/>
    <col min="4359" max="4359" width="8" style="276" customWidth="1"/>
    <col min="4360" max="4360" width="1.25" style="276" customWidth="1"/>
    <col min="4361" max="4361" width="8" style="276" customWidth="1"/>
    <col min="4362" max="4362" width="1.625" style="276" customWidth="1"/>
    <col min="4363" max="4363" width="8" style="276" customWidth="1"/>
    <col min="4364" max="4364" width="1.25" style="276" customWidth="1"/>
    <col min="4365" max="4365" width="9.875" style="276" customWidth="1"/>
    <col min="4366" max="4608" width="8" style="276"/>
    <col min="4609" max="4609" width="12.5" style="276" customWidth="1"/>
    <col min="4610" max="4610" width="26.875" style="276" bestFit="1" customWidth="1"/>
    <col min="4611" max="4611" width="1.5" style="276" customWidth="1"/>
    <col min="4612" max="4612" width="10.25" style="276" bestFit="1" customWidth="1"/>
    <col min="4613" max="4613" width="8" style="276" customWidth="1"/>
    <col min="4614" max="4614" width="9.875" style="276" customWidth="1"/>
    <col min="4615" max="4615" width="8" style="276" customWidth="1"/>
    <col min="4616" max="4616" width="1.25" style="276" customWidth="1"/>
    <col min="4617" max="4617" width="8" style="276" customWidth="1"/>
    <col min="4618" max="4618" width="1.625" style="276" customWidth="1"/>
    <col min="4619" max="4619" width="8" style="276" customWidth="1"/>
    <col min="4620" max="4620" width="1.25" style="276" customWidth="1"/>
    <col min="4621" max="4621" width="9.875" style="276" customWidth="1"/>
    <col min="4622" max="4864" width="8" style="276"/>
    <col min="4865" max="4865" width="12.5" style="276" customWidth="1"/>
    <col min="4866" max="4866" width="26.875" style="276" bestFit="1" customWidth="1"/>
    <col min="4867" max="4867" width="1.5" style="276" customWidth="1"/>
    <col min="4868" max="4868" width="10.25" style="276" bestFit="1" customWidth="1"/>
    <col min="4869" max="4869" width="8" style="276" customWidth="1"/>
    <col min="4870" max="4870" width="9.875" style="276" customWidth="1"/>
    <col min="4871" max="4871" width="8" style="276" customWidth="1"/>
    <col min="4872" max="4872" width="1.25" style="276" customWidth="1"/>
    <col min="4873" max="4873" width="8" style="276" customWidth="1"/>
    <col min="4874" max="4874" width="1.625" style="276" customWidth="1"/>
    <col min="4875" max="4875" width="8" style="276" customWidth="1"/>
    <col min="4876" max="4876" width="1.25" style="276" customWidth="1"/>
    <col min="4877" max="4877" width="9.875" style="276" customWidth="1"/>
    <col min="4878" max="5120" width="8" style="276"/>
    <col min="5121" max="5121" width="12.5" style="276" customWidth="1"/>
    <col min="5122" max="5122" width="26.875" style="276" bestFit="1" customWidth="1"/>
    <col min="5123" max="5123" width="1.5" style="276" customWidth="1"/>
    <col min="5124" max="5124" width="10.25" style="276" bestFit="1" customWidth="1"/>
    <col min="5125" max="5125" width="8" style="276" customWidth="1"/>
    <col min="5126" max="5126" width="9.875" style="276" customWidth="1"/>
    <col min="5127" max="5127" width="8" style="276" customWidth="1"/>
    <col min="5128" max="5128" width="1.25" style="276" customWidth="1"/>
    <col min="5129" max="5129" width="8" style="276" customWidth="1"/>
    <col min="5130" max="5130" width="1.625" style="276" customWidth="1"/>
    <col min="5131" max="5131" width="8" style="276" customWidth="1"/>
    <col min="5132" max="5132" width="1.25" style="276" customWidth="1"/>
    <col min="5133" max="5133" width="9.875" style="276" customWidth="1"/>
    <col min="5134" max="5376" width="8" style="276"/>
    <col min="5377" max="5377" width="12.5" style="276" customWidth="1"/>
    <col min="5378" max="5378" width="26.875" style="276" bestFit="1" customWidth="1"/>
    <col min="5379" max="5379" width="1.5" style="276" customWidth="1"/>
    <col min="5380" max="5380" width="10.25" style="276" bestFit="1" customWidth="1"/>
    <col min="5381" max="5381" width="8" style="276" customWidth="1"/>
    <col min="5382" max="5382" width="9.875" style="276" customWidth="1"/>
    <col min="5383" max="5383" width="8" style="276" customWidth="1"/>
    <col min="5384" max="5384" width="1.25" style="276" customWidth="1"/>
    <col min="5385" max="5385" width="8" style="276" customWidth="1"/>
    <col min="5386" max="5386" width="1.625" style="276" customWidth="1"/>
    <col min="5387" max="5387" width="8" style="276" customWidth="1"/>
    <col min="5388" max="5388" width="1.25" style="276" customWidth="1"/>
    <col min="5389" max="5389" width="9.875" style="276" customWidth="1"/>
    <col min="5390" max="5632" width="8" style="276"/>
    <col min="5633" max="5633" width="12.5" style="276" customWidth="1"/>
    <col min="5634" max="5634" width="26.875" style="276" bestFit="1" customWidth="1"/>
    <col min="5635" max="5635" width="1.5" style="276" customWidth="1"/>
    <col min="5636" max="5636" width="10.25" style="276" bestFit="1" customWidth="1"/>
    <col min="5637" max="5637" width="8" style="276" customWidth="1"/>
    <col min="5638" max="5638" width="9.875" style="276" customWidth="1"/>
    <col min="5639" max="5639" width="8" style="276" customWidth="1"/>
    <col min="5640" max="5640" width="1.25" style="276" customWidth="1"/>
    <col min="5641" max="5641" width="8" style="276" customWidth="1"/>
    <col min="5642" max="5642" width="1.625" style="276" customWidth="1"/>
    <col min="5643" max="5643" width="8" style="276" customWidth="1"/>
    <col min="5644" max="5644" width="1.25" style="276" customWidth="1"/>
    <col min="5645" max="5645" width="9.875" style="276" customWidth="1"/>
    <col min="5646" max="5888" width="8" style="276"/>
    <col min="5889" max="5889" width="12.5" style="276" customWidth="1"/>
    <col min="5890" max="5890" width="26.875" style="276" bestFit="1" customWidth="1"/>
    <col min="5891" max="5891" width="1.5" style="276" customWidth="1"/>
    <col min="5892" max="5892" width="10.25" style="276" bestFit="1" customWidth="1"/>
    <col min="5893" max="5893" width="8" style="276" customWidth="1"/>
    <col min="5894" max="5894" width="9.875" style="276" customWidth="1"/>
    <col min="5895" max="5895" width="8" style="276" customWidth="1"/>
    <col min="5896" max="5896" width="1.25" style="276" customWidth="1"/>
    <col min="5897" max="5897" width="8" style="276" customWidth="1"/>
    <col min="5898" max="5898" width="1.625" style="276" customWidth="1"/>
    <col min="5899" max="5899" width="8" style="276" customWidth="1"/>
    <col min="5900" max="5900" width="1.25" style="276" customWidth="1"/>
    <col min="5901" max="5901" width="9.875" style="276" customWidth="1"/>
    <col min="5902" max="6144" width="8" style="276"/>
    <col min="6145" max="6145" width="12.5" style="276" customWidth="1"/>
    <col min="6146" max="6146" width="26.875" style="276" bestFit="1" customWidth="1"/>
    <col min="6147" max="6147" width="1.5" style="276" customWidth="1"/>
    <col min="6148" max="6148" width="10.25" style="276" bestFit="1" customWidth="1"/>
    <col min="6149" max="6149" width="8" style="276" customWidth="1"/>
    <col min="6150" max="6150" width="9.875" style="276" customWidth="1"/>
    <col min="6151" max="6151" width="8" style="276" customWidth="1"/>
    <col min="6152" max="6152" width="1.25" style="276" customWidth="1"/>
    <col min="6153" max="6153" width="8" style="276" customWidth="1"/>
    <col min="6154" max="6154" width="1.625" style="276" customWidth="1"/>
    <col min="6155" max="6155" width="8" style="276" customWidth="1"/>
    <col min="6156" max="6156" width="1.25" style="276" customWidth="1"/>
    <col min="6157" max="6157" width="9.875" style="276" customWidth="1"/>
    <col min="6158" max="6400" width="8" style="276"/>
    <col min="6401" max="6401" width="12.5" style="276" customWidth="1"/>
    <col min="6402" max="6402" width="26.875" style="276" bestFit="1" customWidth="1"/>
    <col min="6403" max="6403" width="1.5" style="276" customWidth="1"/>
    <col min="6404" max="6404" width="10.25" style="276" bestFit="1" customWidth="1"/>
    <col min="6405" max="6405" width="8" style="276" customWidth="1"/>
    <col min="6406" max="6406" width="9.875" style="276" customWidth="1"/>
    <col min="6407" max="6407" width="8" style="276" customWidth="1"/>
    <col min="6408" max="6408" width="1.25" style="276" customWidth="1"/>
    <col min="6409" max="6409" width="8" style="276" customWidth="1"/>
    <col min="6410" max="6410" width="1.625" style="276" customWidth="1"/>
    <col min="6411" max="6411" width="8" style="276" customWidth="1"/>
    <col min="6412" max="6412" width="1.25" style="276" customWidth="1"/>
    <col min="6413" max="6413" width="9.875" style="276" customWidth="1"/>
    <col min="6414" max="6656" width="8" style="276"/>
    <col min="6657" max="6657" width="12.5" style="276" customWidth="1"/>
    <col min="6658" max="6658" width="26.875" style="276" bestFit="1" customWidth="1"/>
    <col min="6659" max="6659" width="1.5" style="276" customWidth="1"/>
    <col min="6660" max="6660" width="10.25" style="276" bestFit="1" customWidth="1"/>
    <col min="6661" max="6661" width="8" style="276" customWidth="1"/>
    <col min="6662" max="6662" width="9.875" style="276" customWidth="1"/>
    <col min="6663" max="6663" width="8" style="276" customWidth="1"/>
    <col min="6664" max="6664" width="1.25" style="276" customWidth="1"/>
    <col min="6665" max="6665" width="8" style="276" customWidth="1"/>
    <col min="6666" max="6666" width="1.625" style="276" customWidth="1"/>
    <col min="6667" max="6667" width="8" style="276" customWidth="1"/>
    <col min="6668" max="6668" width="1.25" style="276" customWidth="1"/>
    <col min="6669" max="6669" width="9.875" style="276" customWidth="1"/>
    <col min="6670" max="6912" width="8" style="276"/>
    <col min="6913" max="6913" width="12.5" style="276" customWidth="1"/>
    <col min="6914" max="6914" width="26.875" style="276" bestFit="1" customWidth="1"/>
    <col min="6915" max="6915" width="1.5" style="276" customWidth="1"/>
    <col min="6916" max="6916" width="10.25" style="276" bestFit="1" customWidth="1"/>
    <col min="6917" max="6917" width="8" style="276" customWidth="1"/>
    <col min="6918" max="6918" width="9.875" style="276" customWidth="1"/>
    <col min="6919" max="6919" width="8" style="276" customWidth="1"/>
    <col min="6920" max="6920" width="1.25" style="276" customWidth="1"/>
    <col min="6921" max="6921" width="8" style="276" customWidth="1"/>
    <col min="6922" max="6922" width="1.625" style="276" customWidth="1"/>
    <col min="6923" max="6923" width="8" style="276" customWidth="1"/>
    <col min="6924" max="6924" width="1.25" style="276" customWidth="1"/>
    <col min="6925" max="6925" width="9.875" style="276" customWidth="1"/>
    <col min="6926" max="7168" width="8" style="276"/>
    <col min="7169" max="7169" width="12.5" style="276" customWidth="1"/>
    <col min="7170" max="7170" width="26.875" style="276" bestFit="1" customWidth="1"/>
    <col min="7171" max="7171" width="1.5" style="276" customWidth="1"/>
    <col min="7172" max="7172" width="10.25" style="276" bestFit="1" customWidth="1"/>
    <col min="7173" max="7173" width="8" style="276" customWidth="1"/>
    <col min="7174" max="7174" width="9.875" style="276" customWidth="1"/>
    <col min="7175" max="7175" width="8" style="276" customWidth="1"/>
    <col min="7176" max="7176" width="1.25" style="276" customWidth="1"/>
    <col min="7177" max="7177" width="8" style="276" customWidth="1"/>
    <col min="7178" max="7178" width="1.625" style="276" customWidth="1"/>
    <col min="7179" max="7179" width="8" style="276" customWidth="1"/>
    <col min="7180" max="7180" width="1.25" style="276" customWidth="1"/>
    <col min="7181" max="7181" width="9.875" style="276" customWidth="1"/>
    <col min="7182" max="7424" width="8" style="276"/>
    <col min="7425" max="7425" width="12.5" style="276" customWidth="1"/>
    <col min="7426" max="7426" width="26.875" style="276" bestFit="1" customWidth="1"/>
    <col min="7427" max="7427" width="1.5" style="276" customWidth="1"/>
    <col min="7428" max="7428" width="10.25" style="276" bestFit="1" customWidth="1"/>
    <col min="7429" max="7429" width="8" style="276" customWidth="1"/>
    <col min="7430" max="7430" width="9.875" style="276" customWidth="1"/>
    <col min="7431" max="7431" width="8" style="276" customWidth="1"/>
    <col min="7432" max="7432" width="1.25" style="276" customWidth="1"/>
    <col min="7433" max="7433" width="8" style="276" customWidth="1"/>
    <col min="7434" max="7434" width="1.625" style="276" customWidth="1"/>
    <col min="7435" max="7435" width="8" style="276" customWidth="1"/>
    <col min="7436" max="7436" width="1.25" style="276" customWidth="1"/>
    <col min="7437" max="7437" width="9.875" style="276" customWidth="1"/>
    <col min="7438" max="7680" width="8" style="276"/>
    <col min="7681" max="7681" width="12.5" style="276" customWidth="1"/>
    <col min="7682" max="7682" width="26.875" style="276" bestFit="1" customWidth="1"/>
    <col min="7683" max="7683" width="1.5" style="276" customWidth="1"/>
    <col min="7684" max="7684" width="10.25" style="276" bestFit="1" customWidth="1"/>
    <col min="7685" max="7685" width="8" style="276" customWidth="1"/>
    <col min="7686" max="7686" width="9.875" style="276" customWidth="1"/>
    <col min="7687" max="7687" width="8" style="276" customWidth="1"/>
    <col min="7688" max="7688" width="1.25" style="276" customWidth="1"/>
    <col min="7689" max="7689" width="8" style="276" customWidth="1"/>
    <col min="7690" max="7690" width="1.625" style="276" customWidth="1"/>
    <col min="7691" max="7691" width="8" style="276" customWidth="1"/>
    <col min="7692" max="7692" width="1.25" style="276" customWidth="1"/>
    <col min="7693" max="7693" width="9.875" style="276" customWidth="1"/>
    <col min="7694" max="7936" width="8" style="276"/>
    <col min="7937" max="7937" width="12.5" style="276" customWidth="1"/>
    <col min="7938" max="7938" width="26.875" style="276" bestFit="1" customWidth="1"/>
    <col min="7939" max="7939" width="1.5" style="276" customWidth="1"/>
    <col min="7940" max="7940" width="10.25" style="276" bestFit="1" customWidth="1"/>
    <col min="7941" max="7941" width="8" style="276" customWidth="1"/>
    <col min="7942" max="7942" width="9.875" style="276" customWidth="1"/>
    <col min="7943" max="7943" width="8" style="276" customWidth="1"/>
    <col min="7944" max="7944" width="1.25" style="276" customWidth="1"/>
    <col min="7945" max="7945" width="8" style="276" customWidth="1"/>
    <col min="7946" max="7946" width="1.625" style="276" customWidth="1"/>
    <col min="7947" max="7947" width="8" style="276" customWidth="1"/>
    <col min="7948" max="7948" width="1.25" style="276" customWidth="1"/>
    <col min="7949" max="7949" width="9.875" style="276" customWidth="1"/>
    <col min="7950" max="8192" width="8" style="276"/>
    <col min="8193" max="8193" width="12.5" style="276" customWidth="1"/>
    <col min="8194" max="8194" width="26.875" style="276" bestFit="1" customWidth="1"/>
    <col min="8195" max="8195" width="1.5" style="276" customWidth="1"/>
    <col min="8196" max="8196" width="10.25" style="276" bestFit="1" customWidth="1"/>
    <col min="8197" max="8197" width="8" style="276" customWidth="1"/>
    <col min="8198" max="8198" width="9.875" style="276" customWidth="1"/>
    <col min="8199" max="8199" width="8" style="276" customWidth="1"/>
    <col min="8200" max="8200" width="1.25" style="276" customWidth="1"/>
    <col min="8201" max="8201" width="8" style="276" customWidth="1"/>
    <col min="8202" max="8202" width="1.625" style="276" customWidth="1"/>
    <col min="8203" max="8203" width="8" style="276" customWidth="1"/>
    <col min="8204" max="8204" width="1.25" style="276" customWidth="1"/>
    <col min="8205" max="8205" width="9.875" style="276" customWidth="1"/>
    <col min="8206" max="8448" width="8" style="276"/>
    <col min="8449" max="8449" width="12.5" style="276" customWidth="1"/>
    <col min="8450" max="8450" width="26.875" style="276" bestFit="1" customWidth="1"/>
    <col min="8451" max="8451" width="1.5" style="276" customWidth="1"/>
    <col min="8452" max="8452" width="10.25" style="276" bestFit="1" customWidth="1"/>
    <col min="8453" max="8453" width="8" style="276" customWidth="1"/>
    <col min="8454" max="8454" width="9.875" style="276" customWidth="1"/>
    <col min="8455" max="8455" width="8" style="276" customWidth="1"/>
    <col min="8456" max="8456" width="1.25" style="276" customWidth="1"/>
    <col min="8457" max="8457" width="8" style="276" customWidth="1"/>
    <col min="8458" max="8458" width="1.625" style="276" customWidth="1"/>
    <col min="8459" max="8459" width="8" style="276" customWidth="1"/>
    <col min="8460" max="8460" width="1.25" style="276" customWidth="1"/>
    <col min="8461" max="8461" width="9.875" style="276" customWidth="1"/>
    <col min="8462" max="8704" width="8" style="276"/>
    <col min="8705" max="8705" width="12.5" style="276" customWidth="1"/>
    <col min="8706" max="8706" width="26.875" style="276" bestFit="1" customWidth="1"/>
    <col min="8707" max="8707" width="1.5" style="276" customWidth="1"/>
    <col min="8708" max="8708" width="10.25" style="276" bestFit="1" customWidth="1"/>
    <col min="8709" max="8709" width="8" style="276" customWidth="1"/>
    <col min="8710" max="8710" width="9.875" style="276" customWidth="1"/>
    <col min="8711" max="8711" width="8" style="276" customWidth="1"/>
    <col min="8712" max="8712" width="1.25" style="276" customWidth="1"/>
    <col min="8713" max="8713" width="8" style="276" customWidth="1"/>
    <col min="8714" max="8714" width="1.625" style="276" customWidth="1"/>
    <col min="8715" max="8715" width="8" style="276" customWidth="1"/>
    <col min="8716" max="8716" width="1.25" style="276" customWidth="1"/>
    <col min="8717" max="8717" width="9.875" style="276" customWidth="1"/>
    <col min="8718" max="8960" width="8" style="276"/>
    <col min="8961" max="8961" width="12.5" style="276" customWidth="1"/>
    <col min="8962" max="8962" width="26.875" style="276" bestFit="1" customWidth="1"/>
    <col min="8963" max="8963" width="1.5" style="276" customWidth="1"/>
    <col min="8964" max="8964" width="10.25" style="276" bestFit="1" customWidth="1"/>
    <col min="8965" max="8965" width="8" style="276" customWidth="1"/>
    <col min="8966" max="8966" width="9.875" style="276" customWidth="1"/>
    <col min="8967" max="8967" width="8" style="276" customWidth="1"/>
    <col min="8968" max="8968" width="1.25" style="276" customWidth="1"/>
    <col min="8969" max="8969" width="8" style="276" customWidth="1"/>
    <col min="8970" max="8970" width="1.625" style="276" customWidth="1"/>
    <col min="8971" max="8971" width="8" style="276" customWidth="1"/>
    <col min="8972" max="8972" width="1.25" style="276" customWidth="1"/>
    <col min="8973" max="8973" width="9.875" style="276" customWidth="1"/>
    <col min="8974" max="9216" width="8" style="276"/>
    <col min="9217" max="9217" width="12.5" style="276" customWidth="1"/>
    <col min="9218" max="9218" width="26.875" style="276" bestFit="1" customWidth="1"/>
    <col min="9219" max="9219" width="1.5" style="276" customWidth="1"/>
    <col min="9220" max="9220" width="10.25" style="276" bestFit="1" customWidth="1"/>
    <col min="9221" max="9221" width="8" style="276" customWidth="1"/>
    <col min="9222" max="9222" width="9.875" style="276" customWidth="1"/>
    <col min="9223" max="9223" width="8" style="276" customWidth="1"/>
    <col min="9224" max="9224" width="1.25" style="276" customWidth="1"/>
    <col min="9225" max="9225" width="8" style="276" customWidth="1"/>
    <col min="9226" max="9226" width="1.625" style="276" customWidth="1"/>
    <col min="9227" max="9227" width="8" style="276" customWidth="1"/>
    <col min="9228" max="9228" width="1.25" style="276" customWidth="1"/>
    <col min="9229" max="9229" width="9.875" style="276" customWidth="1"/>
    <col min="9230" max="9472" width="8" style="276"/>
    <col min="9473" max="9473" width="12.5" style="276" customWidth="1"/>
    <col min="9474" max="9474" width="26.875" style="276" bestFit="1" customWidth="1"/>
    <col min="9475" max="9475" width="1.5" style="276" customWidth="1"/>
    <col min="9476" max="9476" width="10.25" style="276" bestFit="1" customWidth="1"/>
    <col min="9477" max="9477" width="8" style="276" customWidth="1"/>
    <col min="9478" max="9478" width="9.875" style="276" customWidth="1"/>
    <col min="9479" max="9479" width="8" style="276" customWidth="1"/>
    <col min="9480" max="9480" width="1.25" style="276" customWidth="1"/>
    <col min="9481" max="9481" width="8" style="276" customWidth="1"/>
    <col min="9482" max="9482" width="1.625" style="276" customWidth="1"/>
    <col min="9483" max="9483" width="8" style="276" customWidth="1"/>
    <col min="9484" max="9484" width="1.25" style="276" customWidth="1"/>
    <col min="9485" max="9485" width="9.875" style="276" customWidth="1"/>
    <col min="9486" max="9728" width="8" style="276"/>
    <col min="9729" max="9729" width="12.5" style="276" customWidth="1"/>
    <col min="9730" max="9730" width="26.875" style="276" bestFit="1" customWidth="1"/>
    <col min="9731" max="9731" width="1.5" style="276" customWidth="1"/>
    <col min="9732" max="9732" width="10.25" style="276" bestFit="1" customWidth="1"/>
    <col min="9733" max="9733" width="8" style="276" customWidth="1"/>
    <col min="9734" max="9734" width="9.875" style="276" customWidth="1"/>
    <col min="9735" max="9735" width="8" style="276" customWidth="1"/>
    <col min="9736" max="9736" width="1.25" style="276" customWidth="1"/>
    <col min="9737" max="9737" width="8" style="276" customWidth="1"/>
    <col min="9738" max="9738" width="1.625" style="276" customWidth="1"/>
    <col min="9739" max="9739" width="8" style="276" customWidth="1"/>
    <col min="9740" max="9740" width="1.25" style="276" customWidth="1"/>
    <col min="9741" max="9741" width="9.875" style="276" customWidth="1"/>
    <col min="9742" max="9984" width="8" style="276"/>
    <col min="9985" max="9985" width="12.5" style="276" customWidth="1"/>
    <col min="9986" max="9986" width="26.875" style="276" bestFit="1" customWidth="1"/>
    <col min="9987" max="9987" width="1.5" style="276" customWidth="1"/>
    <col min="9988" max="9988" width="10.25" style="276" bestFit="1" customWidth="1"/>
    <col min="9989" max="9989" width="8" style="276" customWidth="1"/>
    <col min="9990" max="9990" width="9.875" style="276" customWidth="1"/>
    <col min="9991" max="9991" width="8" style="276" customWidth="1"/>
    <col min="9992" max="9992" width="1.25" style="276" customWidth="1"/>
    <col min="9993" max="9993" width="8" style="276" customWidth="1"/>
    <col min="9994" max="9994" width="1.625" style="276" customWidth="1"/>
    <col min="9995" max="9995" width="8" style="276" customWidth="1"/>
    <col min="9996" max="9996" width="1.25" style="276" customWidth="1"/>
    <col min="9997" max="9997" width="9.875" style="276" customWidth="1"/>
    <col min="9998" max="10240" width="8" style="276"/>
    <col min="10241" max="10241" width="12.5" style="276" customWidth="1"/>
    <col min="10242" max="10242" width="26.875" style="276" bestFit="1" customWidth="1"/>
    <col min="10243" max="10243" width="1.5" style="276" customWidth="1"/>
    <col min="10244" max="10244" width="10.25" style="276" bestFit="1" customWidth="1"/>
    <col min="10245" max="10245" width="8" style="276" customWidth="1"/>
    <col min="10246" max="10246" width="9.875" style="276" customWidth="1"/>
    <col min="10247" max="10247" width="8" style="276" customWidth="1"/>
    <col min="10248" max="10248" width="1.25" style="276" customWidth="1"/>
    <col min="10249" max="10249" width="8" style="276" customWidth="1"/>
    <col min="10250" max="10250" width="1.625" style="276" customWidth="1"/>
    <col min="10251" max="10251" width="8" style="276" customWidth="1"/>
    <col min="10252" max="10252" width="1.25" style="276" customWidth="1"/>
    <col min="10253" max="10253" width="9.875" style="276" customWidth="1"/>
    <col min="10254" max="10496" width="8" style="276"/>
    <col min="10497" max="10497" width="12.5" style="276" customWidth="1"/>
    <col min="10498" max="10498" width="26.875" style="276" bestFit="1" customWidth="1"/>
    <col min="10499" max="10499" width="1.5" style="276" customWidth="1"/>
    <col min="10500" max="10500" width="10.25" style="276" bestFit="1" customWidth="1"/>
    <col min="10501" max="10501" width="8" style="276" customWidth="1"/>
    <col min="10502" max="10502" width="9.875" style="276" customWidth="1"/>
    <col min="10503" max="10503" width="8" style="276" customWidth="1"/>
    <col min="10504" max="10504" width="1.25" style="276" customWidth="1"/>
    <col min="10505" max="10505" width="8" style="276" customWidth="1"/>
    <col min="10506" max="10506" width="1.625" style="276" customWidth="1"/>
    <col min="10507" max="10507" width="8" style="276" customWidth="1"/>
    <col min="10508" max="10508" width="1.25" style="276" customWidth="1"/>
    <col min="10509" max="10509" width="9.875" style="276" customWidth="1"/>
    <col min="10510" max="10752" width="8" style="276"/>
    <col min="10753" max="10753" width="12.5" style="276" customWidth="1"/>
    <col min="10754" max="10754" width="26.875" style="276" bestFit="1" customWidth="1"/>
    <col min="10755" max="10755" width="1.5" style="276" customWidth="1"/>
    <col min="10756" max="10756" width="10.25" style="276" bestFit="1" customWidth="1"/>
    <col min="10757" max="10757" width="8" style="276" customWidth="1"/>
    <col min="10758" max="10758" width="9.875" style="276" customWidth="1"/>
    <col min="10759" max="10759" width="8" style="276" customWidth="1"/>
    <col min="10760" max="10760" width="1.25" style="276" customWidth="1"/>
    <col min="10761" max="10761" width="8" style="276" customWidth="1"/>
    <col min="10762" max="10762" width="1.625" style="276" customWidth="1"/>
    <col min="10763" max="10763" width="8" style="276" customWidth="1"/>
    <col min="10764" max="10764" width="1.25" style="276" customWidth="1"/>
    <col min="10765" max="10765" width="9.875" style="276" customWidth="1"/>
    <col min="10766" max="11008" width="8" style="276"/>
    <col min="11009" max="11009" width="12.5" style="276" customWidth="1"/>
    <col min="11010" max="11010" width="26.875" style="276" bestFit="1" customWidth="1"/>
    <col min="11011" max="11011" width="1.5" style="276" customWidth="1"/>
    <col min="11012" max="11012" width="10.25" style="276" bestFit="1" customWidth="1"/>
    <col min="11013" max="11013" width="8" style="276" customWidth="1"/>
    <col min="11014" max="11014" width="9.875" style="276" customWidth="1"/>
    <col min="11015" max="11015" width="8" style="276" customWidth="1"/>
    <col min="11016" max="11016" width="1.25" style="276" customWidth="1"/>
    <col min="11017" max="11017" width="8" style="276" customWidth="1"/>
    <col min="11018" max="11018" width="1.625" style="276" customWidth="1"/>
    <col min="11019" max="11019" width="8" style="276" customWidth="1"/>
    <col min="11020" max="11020" width="1.25" style="276" customWidth="1"/>
    <col min="11021" max="11021" width="9.875" style="276" customWidth="1"/>
    <col min="11022" max="11264" width="8" style="276"/>
    <col min="11265" max="11265" width="12.5" style="276" customWidth="1"/>
    <col min="11266" max="11266" width="26.875" style="276" bestFit="1" customWidth="1"/>
    <col min="11267" max="11267" width="1.5" style="276" customWidth="1"/>
    <col min="11268" max="11268" width="10.25" style="276" bestFit="1" customWidth="1"/>
    <col min="11269" max="11269" width="8" style="276" customWidth="1"/>
    <col min="11270" max="11270" width="9.875" style="276" customWidth="1"/>
    <col min="11271" max="11271" width="8" style="276" customWidth="1"/>
    <col min="11272" max="11272" width="1.25" style="276" customWidth="1"/>
    <col min="11273" max="11273" width="8" style="276" customWidth="1"/>
    <col min="11274" max="11274" width="1.625" style="276" customWidth="1"/>
    <col min="11275" max="11275" width="8" style="276" customWidth="1"/>
    <col min="11276" max="11276" width="1.25" style="276" customWidth="1"/>
    <col min="11277" max="11277" width="9.875" style="276" customWidth="1"/>
    <col min="11278" max="11520" width="8" style="276"/>
    <col min="11521" max="11521" width="12.5" style="276" customWidth="1"/>
    <col min="11522" max="11522" width="26.875" style="276" bestFit="1" customWidth="1"/>
    <col min="11523" max="11523" width="1.5" style="276" customWidth="1"/>
    <col min="11524" max="11524" width="10.25" style="276" bestFit="1" customWidth="1"/>
    <col min="11525" max="11525" width="8" style="276" customWidth="1"/>
    <col min="11526" max="11526" width="9.875" style="276" customWidth="1"/>
    <col min="11527" max="11527" width="8" style="276" customWidth="1"/>
    <col min="11528" max="11528" width="1.25" style="276" customWidth="1"/>
    <col min="11529" max="11529" width="8" style="276" customWidth="1"/>
    <col min="11530" max="11530" width="1.625" style="276" customWidth="1"/>
    <col min="11531" max="11531" width="8" style="276" customWidth="1"/>
    <col min="11532" max="11532" width="1.25" style="276" customWidth="1"/>
    <col min="11533" max="11533" width="9.875" style="276" customWidth="1"/>
    <col min="11534" max="11776" width="8" style="276"/>
    <col min="11777" max="11777" width="12.5" style="276" customWidth="1"/>
    <col min="11778" max="11778" width="26.875" style="276" bestFit="1" customWidth="1"/>
    <col min="11779" max="11779" width="1.5" style="276" customWidth="1"/>
    <col min="11780" max="11780" width="10.25" style="276" bestFit="1" customWidth="1"/>
    <col min="11781" max="11781" width="8" style="276" customWidth="1"/>
    <col min="11782" max="11782" width="9.875" style="276" customWidth="1"/>
    <col min="11783" max="11783" width="8" style="276" customWidth="1"/>
    <col min="11784" max="11784" width="1.25" style="276" customWidth="1"/>
    <col min="11785" max="11785" width="8" style="276" customWidth="1"/>
    <col min="11786" max="11786" width="1.625" style="276" customWidth="1"/>
    <col min="11787" max="11787" width="8" style="276" customWidth="1"/>
    <col min="11788" max="11788" width="1.25" style="276" customWidth="1"/>
    <col min="11789" max="11789" width="9.875" style="276" customWidth="1"/>
    <col min="11790" max="12032" width="8" style="276"/>
    <col min="12033" max="12033" width="12.5" style="276" customWidth="1"/>
    <col min="12034" max="12034" width="26.875" style="276" bestFit="1" customWidth="1"/>
    <col min="12035" max="12035" width="1.5" style="276" customWidth="1"/>
    <col min="12036" max="12036" width="10.25" style="276" bestFit="1" customWidth="1"/>
    <col min="12037" max="12037" width="8" style="276" customWidth="1"/>
    <col min="12038" max="12038" width="9.875" style="276" customWidth="1"/>
    <col min="12039" max="12039" width="8" style="276" customWidth="1"/>
    <col min="12040" max="12040" width="1.25" style="276" customWidth="1"/>
    <col min="12041" max="12041" width="8" style="276" customWidth="1"/>
    <col min="12042" max="12042" width="1.625" style="276" customWidth="1"/>
    <col min="12043" max="12043" width="8" style="276" customWidth="1"/>
    <col min="12044" max="12044" width="1.25" style="276" customWidth="1"/>
    <col min="12045" max="12045" width="9.875" style="276" customWidth="1"/>
    <col min="12046" max="12288" width="8" style="276"/>
    <col min="12289" max="12289" width="12.5" style="276" customWidth="1"/>
    <col min="12290" max="12290" width="26.875" style="276" bestFit="1" customWidth="1"/>
    <col min="12291" max="12291" width="1.5" style="276" customWidth="1"/>
    <col min="12292" max="12292" width="10.25" style="276" bestFit="1" customWidth="1"/>
    <col min="12293" max="12293" width="8" style="276" customWidth="1"/>
    <col min="12294" max="12294" width="9.875" style="276" customWidth="1"/>
    <col min="12295" max="12295" width="8" style="276" customWidth="1"/>
    <col min="12296" max="12296" width="1.25" style="276" customWidth="1"/>
    <col min="12297" max="12297" width="8" style="276" customWidth="1"/>
    <col min="12298" max="12298" width="1.625" style="276" customWidth="1"/>
    <col min="12299" max="12299" width="8" style="276" customWidth="1"/>
    <col min="12300" max="12300" width="1.25" style="276" customWidth="1"/>
    <col min="12301" max="12301" width="9.875" style="276" customWidth="1"/>
    <col min="12302" max="12544" width="8" style="276"/>
    <col min="12545" max="12545" width="12.5" style="276" customWidth="1"/>
    <col min="12546" max="12546" width="26.875" style="276" bestFit="1" customWidth="1"/>
    <col min="12547" max="12547" width="1.5" style="276" customWidth="1"/>
    <col min="12548" max="12548" width="10.25" style="276" bestFit="1" customWidth="1"/>
    <col min="12549" max="12549" width="8" style="276" customWidth="1"/>
    <col min="12550" max="12550" width="9.875" style="276" customWidth="1"/>
    <col min="12551" max="12551" width="8" style="276" customWidth="1"/>
    <col min="12552" max="12552" width="1.25" style="276" customWidth="1"/>
    <col min="12553" max="12553" width="8" style="276" customWidth="1"/>
    <col min="12554" max="12554" width="1.625" style="276" customWidth="1"/>
    <col min="12555" max="12555" width="8" style="276" customWidth="1"/>
    <col min="12556" max="12556" width="1.25" style="276" customWidth="1"/>
    <col min="12557" max="12557" width="9.875" style="276" customWidth="1"/>
    <col min="12558" max="12800" width="8" style="276"/>
    <col min="12801" max="12801" width="12.5" style="276" customWidth="1"/>
    <col min="12802" max="12802" width="26.875" style="276" bestFit="1" customWidth="1"/>
    <col min="12803" max="12803" width="1.5" style="276" customWidth="1"/>
    <col min="12804" max="12804" width="10.25" style="276" bestFit="1" customWidth="1"/>
    <col min="12805" max="12805" width="8" style="276" customWidth="1"/>
    <col min="12806" max="12806" width="9.875" style="276" customWidth="1"/>
    <col min="12807" max="12807" width="8" style="276" customWidth="1"/>
    <col min="12808" max="12808" width="1.25" style="276" customWidth="1"/>
    <col min="12809" max="12809" width="8" style="276" customWidth="1"/>
    <col min="12810" max="12810" width="1.625" style="276" customWidth="1"/>
    <col min="12811" max="12811" width="8" style="276" customWidth="1"/>
    <col min="12812" max="12812" width="1.25" style="276" customWidth="1"/>
    <col min="12813" max="12813" width="9.875" style="276" customWidth="1"/>
    <col min="12814" max="13056" width="8" style="276"/>
    <col min="13057" max="13057" width="12.5" style="276" customWidth="1"/>
    <col min="13058" max="13058" width="26.875" style="276" bestFit="1" customWidth="1"/>
    <col min="13059" max="13059" width="1.5" style="276" customWidth="1"/>
    <col min="13060" max="13060" width="10.25" style="276" bestFit="1" customWidth="1"/>
    <col min="13061" max="13061" width="8" style="276" customWidth="1"/>
    <col min="13062" max="13062" width="9.875" style="276" customWidth="1"/>
    <col min="13063" max="13063" width="8" style="276" customWidth="1"/>
    <col min="13064" max="13064" width="1.25" style="276" customWidth="1"/>
    <col min="13065" max="13065" width="8" style="276" customWidth="1"/>
    <col min="13066" max="13066" width="1.625" style="276" customWidth="1"/>
    <col min="13067" max="13067" width="8" style="276" customWidth="1"/>
    <col min="13068" max="13068" width="1.25" style="276" customWidth="1"/>
    <col min="13069" max="13069" width="9.875" style="276" customWidth="1"/>
    <col min="13070" max="13312" width="8" style="276"/>
    <col min="13313" max="13313" width="12.5" style="276" customWidth="1"/>
    <col min="13314" max="13314" width="26.875" style="276" bestFit="1" customWidth="1"/>
    <col min="13315" max="13315" width="1.5" style="276" customWidth="1"/>
    <col min="13316" max="13316" width="10.25" style="276" bestFit="1" customWidth="1"/>
    <col min="13317" max="13317" width="8" style="276" customWidth="1"/>
    <col min="13318" max="13318" width="9.875" style="276" customWidth="1"/>
    <col min="13319" max="13319" width="8" style="276" customWidth="1"/>
    <col min="13320" max="13320" width="1.25" style="276" customWidth="1"/>
    <col min="13321" max="13321" width="8" style="276" customWidth="1"/>
    <col min="13322" max="13322" width="1.625" style="276" customWidth="1"/>
    <col min="13323" max="13323" width="8" style="276" customWidth="1"/>
    <col min="13324" max="13324" width="1.25" style="276" customWidth="1"/>
    <col min="13325" max="13325" width="9.875" style="276" customWidth="1"/>
    <col min="13326" max="13568" width="8" style="276"/>
    <col min="13569" max="13569" width="12.5" style="276" customWidth="1"/>
    <col min="13570" max="13570" width="26.875" style="276" bestFit="1" customWidth="1"/>
    <col min="13571" max="13571" width="1.5" style="276" customWidth="1"/>
    <col min="13572" max="13572" width="10.25" style="276" bestFit="1" customWidth="1"/>
    <col min="13573" max="13573" width="8" style="276" customWidth="1"/>
    <col min="13574" max="13574" width="9.875" style="276" customWidth="1"/>
    <col min="13575" max="13575" width="8" style="276" customWidth="1"/>
    <col min="13576" max="13576" width="1.25" style="276" customWidth="1"/>
    <col min="13577" max="13577" width="8" style="276" customWidth="1"/>
    <col min="13578" max="13578" width="1.625" style="276" customWidth="1"/>
    <col min="13579" max="13579" width="8" style="276" customWidth="1"/>
    <col min="13580" max="13580" width="1.25" style="276" customWidth="1"/>
    <col min="13581" max="13581" width="9.875" style="276" customWidth="1"/>
    <col min="13582" max="13824" width="8" style="276"/>
    <col min="13825" max="13825" width="12.5" style="276" customWidth="1"/>
    <col min="13826" max="13826" width="26.875" style="276" bestFit="1" customWidth="1"/>
    <col min="13827" max="13827" width="1.5" style="276" customWidth="1"/>
    <col min="13828" max="13828" width="10.25" style="276" bestFit="1" customWidth="1"/>
    <col min="13829" max="13829" width="8" style="276" customWidth="1"/>
    <col min="13830" max="13830" width="9.875" style="276" customWidth="1"/>
    <col min="13831" max="13831" width="8" style="276" customWidth="1"/>
    <col min="13832" max="13832" width="1.25" style="276" customWidth="1"/>
    <col min="13833" max="13833" width="8" style="276" customWidth="1"/>
    <col min="13834" max="13834" width="1.625" style="276" customWidth="1"/>
    <col min="13835" max="13835" width="8" style="276" customWidth="1"/>
    <col min="13836" max="13836" width="1.25" style="276" customWidth="1"/>
    <col min="13837" max="13837" width="9.875" style="276" customWidth="1"/>
    <col min="13838" max="14080" width="8" style="276"/>
    <col min="14081" max="14081" width="12.5" style="276" customWidth="1"/>
    <col min="14082" max="14082" width="26.875" style="276" bestFit="1" customWidth="1"/>
    <col min="14083" max="14083" width="1.5" style="276" customWidth="1"/>
    <col min="14084" max="14084" width="10.25" style="276" bestFit="1" customWidth="1"/>
    <col min="14085" max="14085" width="8" style="276" customWidth="1"/>
    <col min="14086" max="14086" width="9.875" style="276" customWidth="1"/>
    <col min="14087" max="14087" width="8" style="276" customWidth="1"/>
    <col min="14088" max="14088" width="1.25" style="276" customWidth="1"/>
    <col min="14089" max="14089" width="8" style="276" customWidth="1"/>
    <col min="14090" max="14090" width="1.625" style="276" customWidth="1"/>
    <col min="14091" max="14091" width="8" style="276" customWidth="1"/>
    <col min="14092" max="14092" width="1.25" style="276" customWidth="1"/>
    <col min="14093" max="14093" width="9.875" style="276" customWidth="1"/>
    <col min="14094" max="14336" width="8" style="276"/>
    <col min="14337" max="14337" width="12.5" style="276" customWidth="1"/>
    <col min="14338" max="14338" width="26.875" style="276" bestFit="1" customWidth="1"/>
    <col min="14339" max="14339" width="1.5" style="276" customWidth="1"/>
    <col min="14340" max="14340" width="10.25" style="276" bestFit="1" customWidth="1"/>
    <col min="14341" max="14341" width="8" style="276" customWidth="1"/>
    <col min="14342" max="14342" width="9.875" style="276" customWidth="1"/>
    <col min="14343" max="14343" width="8" style="276" customWidth="1"/>
    <col min="14344" max="14344" width="1.25" style="276" customWidth="1"/>
    <col min="14345" max="14345" width="8" style="276" customWidth="1"/>
    <col min="14346" max="14346" width="1.625" style="276" customWidth="1"/>
    <col min="14347" max="14347" width="8" style="276" customWidth="1"/>
    <col min="14348" max="14348" width="1.25" style="276" customWidth="1"/>
    <col min="14349" max="14349" width="9.875" style="276" customWidth="1"/>
    <col min="14350" max="14592" width="8" style="276"/>
    <col min="14593" max="14593" width="12.5" style="276" customWidth="1"/>
    <col min="14594" max="14594" width="26.875" style="276" bestFit="1" customWidth="1"/>
    <col min="14595" max="14595" width="1.5" style="276" customWidth="1"/>
    <col min="14596" max="14596" width="10.25" style="276" bestFit="1" customWidth="1"/>
    <col min="14597" max="14597" width="8" style="276" customWidth="1"/>
    <col min="14598" max="14598" width="9.875" style="276" customWidth="1"/>
    <col min="14599" max="14599" width="8" style="276" customWidth="1"/>
    <col min="14600" max="14600" width="1.25" style="276" customWidth="1"/>
    <col min="14601" max="14601" width="8" style="276" customWidth="1"/>
    <col min="14602" max="14602" width="1.625" style="276" customWidth="1"/>
    <col min="14603" max="14603" width="8" style="276" customWidth="1"/>
    <col min="14604" max="14604" width="1.25" style="276" customWidth="1"/>
    <col min="14605" max="14605" width="9.875" style="276" customWidth="1"/>
    <col min="14606" max="14848" width="8" style="276"/>
    <col min="14849" max="14849" width="12.5" style="276" customWidth="1"/>
    <col min="14850" max="14850" width="26.875" style="276" bestFit="1" customWidth="1"/>
    <col min="14851" max="14851" width="1.5" style="276" customWidth="1"/>
    <col min="14852" max="14852" width="10.25" style="276" bestFit="1" customWidth="1"/>
    <col min="14853" max="14853" width="8" style="276" customWidth="1"/>
    <col min="14854" max="14854" width="9.875" style="276" customWidth="1"/>
    <col min="14855" max="14855" width="8" style="276" customWidth="1"/>
    <col min="14856" max="14856" width="1.25" style="276" customWidth="1"/>
    <col min="14857" max="14857" width="8" style="276" customWidth="1"/>
    <col min="14858" max="14858" width="1.625" style="276" customWidth="1"/>
    <col min="14859" max="14859" width="8" style="276" customWidth="1"/>
    <col min="14860" max="14860" width="1.25" style="276" customWidth="1"/>
    <col min="14861" max="14861" width="9.875" style="276" customWidth="1"/>
    <col min="14862" max="15104" width="8" style="276"/>
    <col min="15105" max="15105" width="12.5" style="276" customWidth="1"/>
    <col min="15106" max="15106" width="26.875" style="276" bestFit="1" customWidth="1"/>
    <col min="15107" max="15107" width="1.5" style="276" customWidth="1"/>
    <col min="15108" max="15108" width="10.25" style="276" bestFit="1" customWidth="1"/>
    <col min="15109" max="15109" width="8" style="276" customWidth="1"/>
    <col min="15110" max="15110" width="9.875" style="276" customWidth="1"/>
    <col min="15111" max="15111" width="8" style="276" customWidth="1"/>
    <col min="15112" max="15112" width="1.25" style="276" customWidth="1"/>
    <col min="15113" max="15113" width="8" style="276" customWidth="1"/>
    <col min="15114" max="15114" width="1.625" style="276" customWidth="1"/>
    <col min="15115" max="15115" width="8" style="276" customWidth="1"/>
    <col min="15116" max="15116" width="1.25" style="276" customWidth="1"/>
    <col min="15117" max="15117" width="9.875" style="276" customWidth="1"/>
    <col min="15118" max="15360" width="8" style="276"/>
    <col min="15361" max="15361" width="12.5" style="276" customWidth="1"/>
    <col min="15362" max="15362" width="26.875" style="276" bestFit="1" customWidth="1"/>
    <col min="15363" max="15363" width="1.5" style="276" customWidth="1"/>
    <col min="15364" max="15364" width="10.25" style="276" bestFit="1" customWidth="1"/>
    <col min="15365" max="15365" width="8" style="276" customWidth="1"/>
    <col min="15366" max="15366" width="9.875" style="276" customWidth="1"/>
    <col min="15367" max="15367" width="8" style="276" customWidth="1"/>
    <col min="15368" max="15368" width="1.25" style="276" customWidth="1"/>
    <col min="15369" max="15369" width="8" style="276" customWidth="1"/>
    <col min="15370" max="15370" width="1.625" style="276" customWidth="1"/>
    <col min="15371" max="15371" width="8" style="276" customWidth="1"/>
    <col min="15372" max="15372" width="1.25" style="276" customWidth="1"/>
    <col min="15373" max="15373" width="9.875" style="276" customWidth="1"/>
    <col min="15374" max="15616" width="8" style="276"/>
    <col min="15617" max="15617" width="12.5" style="276" customWidth="1"/>
    <col min="15618" max="15618" width="26.875" style="276" bestFit="1" customWidth="1"/>
    <col min="15619" max="15619" width="1.5" style="276" customWidth="1"/>
    <col min="15620" max="15620" width="10.25" style="276" bestFit="1" customWidth="1"/>
    <col min="15621" max="15621" width="8" style="276" customWidth="1"/>
    <col min="15622" max="15622" width="9.875" style="276" customWidth="1"/>
    <col min="15623" max="15623" width="8" style="276" customWidth="1"/>
    <col min="15624" max="15624" width="1.25" style="276" customWidth="1"/>
    <col min="15625" max="15625" width="8" style="276" customWidth="1"/>
    <col min="15626" max="15626" width="1.625" style="276" customWidth="1"/>
    <col min="15627" max="15627" width="8" style="276" customWidth="1"/>
    <col min="15628" max="15628" width="1.25" style="276" customWidth="1"/>
    <col min="15629" max="15629" width="9.875" style="276" customWidth="1"/>
    <col min="15630" max="15872" width="8" style="276"/>
    <col min="15873" max="15873" width="12.5" style="276" customWidth="1"/>
    <col min="15874" max="15874" width="26.875" style="276" bestFit="1" customWidth="1"/>
    <col min="15875" max="15875" width="1.5" style="276" customWidth="1"/>
    <col min="15876" max="15876" width="10.25" style="276" bestFit="1" customWidth="1"/>
    <col min="15877" max="15877" width="8" style="276" customWidth="1"/>
    <col min="15878" max="15878" width="9.875" style="276" customWidth="1"/>
    <col min="15879" max="15879" width="8" style="276" customWidth="1"/>
    <col min="15880" max="15880" width="1.25" style="276" customWidth="1"/>
    <col min="15881" max="15881" width="8" style="276" customWidth="1"/>
    <col min="15882" max="15882" width="1.625" style="276" customWidth="1"/>
    <col min="15883" max="15883" width="8" style="276" customWidth="1"/>
    <col min="15884" max="15884" width="1.25" style="276" customWidth="1"/>
    <col min="15885" max="15885" width="9.875" style="276" customWidth="1"/>
    <col min="15886" max="16128" width="8" style="276"/>
    <col min="16129" max="16129" width="12.5" style="276" customWidth="1"/>
    <col min="16130" max="16130" width="26.875" style="276" bestFit="1" customWidth="1"/>
    <col min="16131" max="16131" width="1.5" style="276" customWidth="1"/>
    <col min="16132" max="16132" width="10.25" style="276" bestFit="1" customWidth="1"/>
    <col min="16133" max="16133" width="8" style="276" customWidth="1"/>
    <col min="16134" max="16134" width="9.875" style="276" customWidth="1"/>
    <col min="16135" max="16135" width="8" style="276" customWidth="1"/>
    <col min="16136" max="16136" width="1.25" style="276" customWidth="1"/>
    <col min="16137" max="16137" width="8" style="276" customWidth="1"/>
    <col min="16138" max="16138" width="1.625" style="276" customWidth="1"/>
    <col min="16139" max="16139" width="8" style="276" customWidth="1"/>
    <col min="16140" max="16140" width="1.25" style="276" customWidth="1"/>
    <col min="16141" max="16141" width="9.875" style="276" customWidth="1"/>
    <col min="16142" max="16384" width="8" style="276"/>
  </cols>
  <sheetData>
    <row r="1" spans="1:16" ht="18">
      <c r="A1" s="28" t="s">
        <v>1131</v>
      </c>
      <c r="B1" s="28"/>
      <c r="C1" s="274"/>
      <c r="D1" s="28"/>
      <c r="E1" s="28"/>
      <c r="F1" s="28"/>
      <c r="G1" s="274"/>
      <c r="H1" s="274"/>
      <c r="I1" s="274"/>
      <c r="J1" s="274"/>
      <c r="K1" s="274"/>
      <c r="L1" s="274"/>
      <c r="M1" s="275"/>
    </row>
    <row r="2" spans="1:16">
      <c r="A2" s="70"/>
      <c r="B2" s="70"/>
      <c r="C2" s="277"/>
      <c r="D2" s="70"/>
      <c r="E2" s="70"/>
      <c r="F2" s="70"/>
      <c r="G2" s="277"/>
      <c r="H2" s="277"/>
      <c r="I2" s="277"/>
      <c r="J2" s="277"/>
      <c r="K2" s="277"/>
      <c r="L2" s="277"/>
      <c r="M2" s="278"/>
    </row>
    <row r="3" spans="1:16" ht="15.75">
      <c r="A3" s="29" t="s">
        <v>1028</v>
      </c>
      <c r="B3" s="29"/>
      <c r="C3" s="274"/>
      <c r="D3" s="29"/>
      <c r="E3" s="29"/>
      <c r="F3" s="29"/>
      <c r="G3" s="274"/>
      <c r="H3" s="274"/>
      <c r="I3" s="274"/>
      <c r="J3" s="274"/>
      <c r="K3" s="274"/>
      <c r="L3" s="274"/>
      <c r="M3" s="275"/>
    </row>
    <row r="4" spans="1:16" ht="15.75">
      <c r="A4" s="29" t="s">
        <v>1091</v>
      </c>
      <c r="B4" s="29"/>
      <c r="C4" s="29"/>
      <c r="D4" s="29"/>
      <c r="E4" s="29"/>
      <c r="F4" s="29"/>
      <c r="G4" s="29"/>
      <c r="H4" s="29"/>
      <c r="I4" s="29"/>
      <c r="J4" s="29"/>
      <c r="K4" s="29"/>
      <c r="L4" s="29"/>
      <c r="M4" s="275"/>
    </row>
    <row r="5" spans="1:16" ht="15">
      <c r="A5" s="279"/>
      <c r="B5" s="280"/>
      <c r="C5" s="281"/>
      <c r="D5" s="280"/>
      <c r="E5" s="280"/>
      <c r="F5" s="280"/>
      <c r="G5" s="281"/>
      <c r="H5" s="281"/>
      <c r="I5" s="281"/>
      <c r="J5" s="281"/>
      <c r="K5" s="281"/>
      <c r="L5" s="281"/>
      <c r="M5" s="282"/>
    </row>
    <row r="6" spans="1:16" ht="12.75" customHeight="1">
      <c r="A6" s="5"/>
      <c r="B6" s="517" t="s">
        <v>1029</v>
      </c>
      <c r="C6" s="518"/>
      <c r="D6" s="517"/>
      <c r="E6" s="517"/>
      <c r="F6" s="517"/>
      <c r="G6" s="519" t="s">
        <v>324</v>
      </c>
      <c r="H6" s="520"/>
      <c r="I6" s="521"/>
      <c r="J6" s="520"/>
      <c r="K6" s="519" t="s">
        <v>1030</v>
      </c>
      <c r="L6" s="520"/>
      <c r="M6" s="522"/>
    </row>
    <row r="7" spans="1:16" ht="12.75" customHeight="1">
      <c r="A7" s="5"/>
      <c r="B7" s="518" t="s">
        <v>647</v>
      </c>
      <c r="C7" s="517"/>
      <c r="D7" s="518"/>
      <c r="E7" s="523" t="s">
        <v>648</v>
      </c>
      <c r="F7" s="518"/>
      <c r="G7" s="524" t="s">
        <v>1031</v>
      </c>
      <c r="H7" s="517"/>
      <c r="I7" s="525"/>
      <c r="J7" s="517"/>
      <c r="K7" s="524" t="s">
        <v>1032</v>
      </c>
      <c r="L7" s="517"/>
      <c r="M7" s="526"/>
    </row>
    <row r="8" spans="1:16">
      <c r="A8" s="283"/>
      <c r="B8" s="527" t="s">
        <v>1033</v>
      </c>
      <c r="C8" s="527"/>
      <c r="D8" s="527" t="s">
        <v>1034</v>
      </c>
      <c r="E8" s="528" t="s">
        <v>1033</v>
      </c>
      <c r="F8" s="527" t="s">
        <v>1034</v>
      </c>
      <c r="G8" s="529" t="s">
        <v>1033</v>
      </c>
      <c r="H8" s="527"/>
      <c r="I8" s="530" t="s">
        <v>1034</v>
      </c>
      <c r="J8" s="527"/>
      <c r="K8" s="528" t="s">
        <v>1033</v>
      </c>
      <c r="L8" s="527"/>
      <c r="M8" s="527" t="s">
        <v>1034</v>
      </c>
    </row>
    <row r="9" spans="1:16">
      <c r="A9" s="2" t="s">
        <v>139</v>
      </c>
      <c r="B9" s="459" t="s">
        <v>1035</v>
      </c>
      <c r="C9" s="459"/>
      <c r="D9" s="540" t="s">
        <v>1035</v>
      </c>
      <c r="E9" s="459" t="s">
        <v>1035</v>
      </c>
      <c r="F9" s="540" t="s">
        <v>1035</v>
      </c>
      <c r="G9" s="544">
        <v>0.19800000000000001</v>
      </c>
      <c r="H9" s="545"/>
      <c r="I9" s="546">
        <v>0.19800000000000001</v>
      </c>
      <c r="J9" s="547"/>
      <c r="K9" s="546">
        <v>0.19800000000000001</v>
      </c>
      <c r="L9" s="546" t="s">
        <v>324</v>
      </c>
      <c r="M9" s="546">
        <v>0.19800000000000001</v>
      </c>
      <c r="N9" s="302"/>
      <c r="O9" s="284"/>
      <c r="P9" s="284"/>
    </row>
    <row r="10" spans="1:16">
      <c r="A10" s="2" t="s">
        <v>140</v>
      </c>
      <c r="B10" s="459" t="s">
        <v>1035</v>
      </c>
      <c r="C10" s="459"/>
      <c r="D10" s="540" t="s">
        <v>1035</v>
      </c>
      <c r="E10" s="459" t="s">
        <v>1035</v>
      </c>
      <c r="F10" s="540" t="s">
        <v>1035</v>
      </c>
      <c r="G10" s="459" t="s">
        <v>1035</v>
      </c>
      <c r="H10" s="459"/>
      <c r="I10" s="459" t="s">
        <v>1035</v>
      </c>
      <c r="J10" s="540"/>
      <c r="K10" s="460" t="s">
        <v>1036</v>
      </c>
      <c r="L10" s="541"/>
      <c r="M10" s="460" t="s">
        <v>1036</v>
      </c>
    </row>
    <row r="11" spans="1:16">
      <c r="A11" s="2" t="s">
        <v>211</v>
      </c>
      <c r="B11" s="460" t="s">
        <v>1035</v>
      </c>
      <c r="C11" s="460"/>
      <c r="D11" s="542" t="s">
        <v>1035</v>
      </c>
      <c r="E11" s="460" t="s">
        <v>1035</v>
      </c>
      <c r="F11" s="542" t="s">
        <v>1035</v>
      </c>
      <c r="G11" s="460" t="s">
        <v>1035</v>
      </c>
      <c r="H11" s="460"/>
      <c r="I11" s="532" t="s">
        <v>1035</v>
      </c>
      <c r="J11" s="542"/>
      <c r="K11" s="532" t="s">
        <v>1037</v>
      </c>
      <c r="L11" s="460"/>
      <c r="M11" s="532" t="s">
        <v>1037</v>
      </c>
    </row>
    <row r="12" spans="1:16" s="287" customFormat="1">
      <c r="A12" s="6" t="s">
        <v>141</v>
      </c>
      <c r="B12" s="459" t="s">
        <v>1035</v>
      </c>
      <c r="C12" s="459"/>
      <c r="D12" s="540" t="s">
        <v>1035</v>
      </c>
      <c r="E12" s="459" t="s">
        <v>1035</v>
      </c>
      <c r="F12" s="540" t="s">
        <v>1035</v>
      </c>
      <c r="G12" s="460" t="s">
        <v>1035</v>
      </c>
      <c r="H12" s="460"/>
      <c r="I12" s="532" t="s">
        <v>1035</v>
      </c>
      <c r="J12" s="542"/>
      <c r="K12" s="460" t="s">
        <v>1036</v>
      </c>
      <c r="L12" s="460"/>
      <c r="M12" s="460" t="s">
        <v>1036</v>
      </c>
    </row>
    <row r="13" spans="1:16" s="287" customFormat="1">
      <c r="A13" s="6"/>
      <c r="B13" s="460"/>
      <c r="C13" s="532"/>
      <c r="D13" s="542"/>
      <c r="E13" s="532"/>
      <c r="F13" s="542"/>
      <c r="G13" s="532"/>
      <c r="H13" s="532"/>
      <c r="I13" s="532"/>
      <c r="J13" s="542"/>
      <c r="K13" s="532"/>
      <c r="L13" s="532"/>
      <c r="M13" s="460"/>
    </row>
    <row r="14" spans="1:16" ht="14.25">
      <c r="A14" s="6" t="s">
        <v>142</v>
      </c>
      <c r="B14" s="460" t="s">
        <v>1092</v>
      </c>
      <c r="C14" s="548">
        <v>1</v>
      </c>
      <c r="D14" s="460" t="s">
        <v>1092</v>
      </c>
      <c r="E14" s="538" t="s">
        <v>1092</v>
      </c>
      <c r="F14" s="460" t="s">
        <v>1092</v>
      </c>
      <c r="G14" s="538" t="s">
        <v>1092</v>
      </c>
      <c r="H14" s="460"/>
      <c r="I14" s="460" t="s">
        <v>1092</v>
      </c>
      <c r="J14" s="542"/>
      <c r="K14" s="532" t="s">
        <v>1035</v>
      </c>
      <c r="L14" s="460"/>
      <c r="M14" s="532" t="s">
        <v>1035</v>
      </c>
    </row>
    <row r="15" spans="1:16">
      <c r="A15" s="6" t="s">
        <v>143</v>
      </c>
      <c r="B15" s="460" t="s">
        <v>1035</v>
      </c>
      <c r="C15" s="460"/>
      <c r="D15" s="542" t="s">
        <v>1035</v>
      </c>
      <c r="E15" s="460" t="s">
        <v>1035</v>
      </c>
      <c r="F15" s="542" t="s">
        <v>1035</v>
      </c>
      <c r="G15" s="460" t="s">
        <v>1035</v>
      </c>
      <c r="H15" s="460"/>
      <c r="I15" s="532" t="s">
        <v>1035</v>
      </c>
      <c r="J15" s="542"/>
      <c r="K15" s="532" t="s">
        <v>1035</v>
      </c>
      <c r="L15" s="460"/>
      <c r="M15" s="532" t="s">
        <v>1035</v>
      </c>
    </row>
    <row r="16" spans="1:16">
      <c r="A16" s="6" t="s">
        <v>144</v>
      </c>
      <c r="B16" s="460" t="s">
        <v>1035</v>
      </c>
      <c r="C16" s="460"/>
      <c r="D16" s="542" t="s">
        <v>1035</v>
      </c>
      <c r="E16" s="460" t="s">
        <v>1035</v>
      </c>
      <c r="F16" s="542" t="s">
        <v>1035</v>
      </c>
      <c r="G16" s="460" t="s">
        <v>1035</v>
      </c>
      <c r="H16" s="460"/>
      <c r="I16" s="532" t="s">
        <v>1035</v>
      </c>
      <c r="J16" s="542"/>
      <c r="K16" s="532" t="s">
        <v>1035</v>
      </c>
      <c r="L16" s="460"/>
      <c r="M16" s="532" t="s">
        <v>1035</v>
      </c>
    </row>
    <row r="17" spans="1:15">
      <c r="A17" s="2" t="s">
        <v>145</v>
      </c>
      <c r="B17" s="532" t="s">
        <v>1035</v>
      </c>
      <c r="C17" s="532"/>
      <c r="D17" s="542" t="s">
        <v>1035</v>
      </c>
      <c r="E17" s="532" t="s">
        <v>1035</v>
      </c>
      <c r="F17" s="542" t="s">
        <v>1035</v>
      </c>
      <c r="G17" s="532" t="s">
        <v>1035</v>
      </c>
      <c r="H17" s="532"/>
      <c r="I17" s="532" t="s">
        <v>1035</v>
      </c>
      <c r="J17" s="542"/>
      <c r="K17" s="532" t="s">
        <v>1037</v>
      </c>
      <c r="L17" s="460"/>
      <c r="M17" s="532" t="s">
        <v>1037</v>
      </c>
    </row>
    <row r="18" spans="1:15" s="287" customFormat="1">
      <c r="A18" s="6"/>
      <c r="B18" s="460"/>
      <c r="C18" s="532"/>
      <c r="D18" s="542"/>
      <c r="E18" s="532"/>
      <c r="F18" s="542"/>
      <c r="G18" s="532"/>
      <c r="H18" s="532"/>
      <c r="I18" s="532"/>
      <c r="J18" s="542"/>
      <c r="K18" s="532"/>
      <c r="L18" s="532"/>
      <c r="M18" s="460"/>
    </row>
    <row r="19" spans="1:15" customFormat="1" ht="15.75">
      <c r="A19" s="6" t="s">
        <v>146</v>
      </c>
      <c r="B19" s="459" t="s">
        <v>1035</v>
      </c>
      <c r="C19" s="459"/>
      <c r="D19" s="540" t="s">
        <v>1035</v>
      </c>
      <c r="E19" s="459" t="s">
        <v>1035</v>
      </c>
      <c r="F19" s="540" t="s">
        <v>1035</v>
      </c>
      <c r="G19" s="532" t="s">
        <v>1035</v>
      </c>
      <c r="H19" s="532"/>
      <c r="I19" s="532" t="s">
        <v>1035</v>
      </c>
      <c r="J19" s="542"/>
      <c r="K19" s="532" t="s">
        <v>1037</v>
      </c>
      <c r="L19" s="460"/>
      <c r="M19" s="532" t="s">
        <v>1037</v>
      </c>
    </row>
    <row r="20" spans="1:15">
      <c r="A20" s="6" t="s">
        <v>147</v>
      </c>
      <c r="B20" s="459" t="s">
        <v>1035</v>
      </c>
      <c r="C20" s="459"/>
      <c r="D20" s="540" t="s">
        <v>1035</v>
      </c>
      <c r="E20" s="459" t="s">
        <v>1035</v>
      </c>
      <c r="F20" s="540" t="s">
        <v>1035</v>
      </c>
      <c r="G20" s="459" t="s">
        <v>1035</v>
      </c>
      <c r="H20" s="459"/>
      <c r="I20" s="459" t="s">
        <v>1035</v>
      </c>
      <c r="J20" s="540"/>
      <c r="K20" s="532" t="s">
        <v>1037</v>
      </c>
      <c r="L20" s="460"/>
      <c r="M20" s="532" t="s">
        <v>1037</v>
      </c>
    </row>
    <row r="21" spans="1:15" s="287" customFormat="1">
      <c r="A21" s="6" t="s">
        <v>148</v>
      </c>
      <c r="B21" s="460" t="s">
        <v>1035</v>
      </c>
      <c r="C21" s="460"/>
      <c r="D21" s="542" t="s">
        <v>1035</v>
      </c>
      <c r="E21" s="460" t="s">
        <v>1035</v>
      </c>
      <c r="F21" s="542" t="s">
        <v>1035</v>
      </c>
      <c r="G21" s="538" t="s">
        <v>1035</v>
      </c>
      <c r="H21" s="532"/>
      <c r="I21" s="532" t="s">
        <v>1035</v>
      </c>
      <c r="J21" s="542"/>
      <c r="K21" s="532" t="s">
        <v>1035</v>
      </c>
      <c r="L21" s="460"/>
      <c r="M21" s="532" t="s">
        <v>1035</v>
      </c>
    </row>
    <row r="22" spans="1:15" ht="14.25">
      <c r="A22" s="2" t="s">
        <v>149</v>
      </c>
      <c r="B22" s="459" t="s">
        <v>1035</v>
      </c>
      <c r="C22" s="459"/>
      <c r="D22" s="540" t="s">
        <v>1035</v>
      </c>
      <c r="E22" s="459" t="s">
        <v>1035</v>
      </c>
      <c r="F22" s="540" t="s">
        <v>1035</v>
      </c>
      <c r="G22" s="459" t="s">
        <v>1035</v>
      </c>
      <c r="H22" s="459"/>
      <c r="I22" s="459" t="s">
        <v>1035</v>
      </c>
      <c r="J22" s="549"/>
      <c r="K22" s="532" t="s">
        <v>1037</v>
      </c>
      <c r="L22" s="533"/>
      <c r="M22" s="532" t="s">
        <v>1037</v>
      </c>
    </row>
    <row r="23" spans="1:15" s="287" customFormat="1">
      <c r="A23" s="6"/>
      <c r="B23" s="460"/>
      <c r="C23" s="532"/>
      <c r="D23" s="542"/>
      <c r="E23" s="532"/>
      <c r="F23" s="542"/>
      <c r="G23" s="532"/>
      <c r="H23" s="532"/>
      <c r="I23" s="532"/>
      <c r="J23" s="542"/>
      <c r="K23" s="532"/>
      <c r="L23" s="532"/>
      <c r="M23" s="460"/>
    </row>
    <row r="24" spans="1:15">
      <c r="A24" s="6" t="s">
        <v>150</v>
      </c>
      <c r="B24" s="459" t="s">
        <v>1035</v>
      </c>
      <c r="C24" s="459"/>
      <c r="D24" s="540" t="s">
        <v>1035</v>
      </c>
      <c r="E24" s="459" t="s">
        <v>1035</v>
      </c>
      <c r="F24" s="540" t="s">
        <v>1035</v>
      </c>
      <c r="G24" s="459" t="s">
        <v>1035</v>
      </c>
      <c r="H24" s="459"/>
      <c r="I24" s="459" t="s">
        <v>1035</v>
      </c>
      <c r="J24" s="532"/>
      <c r="K24" s="538" t="s">
        <v>1035</v>
      </c>
      <c r="L24" s="532"/>
      <c r="M24" s="532" t="s">
        <v>1035</v>
      </c>
    </row>
    <row r="25" spans="1:15" s="287" customFormat="1" ht="14.25">
      <c r="A25" s="288" t="s">
        <v>151</v>
      </c>
      <c r="B25" s="459" t="s">
        <v>1035</v>
      </c>
      <c r="C25" s="459"/>
      <c r="D25" s="540" t="s">
        <v>1035</v>
      </c>
      <c r="E25" s="459" t="s">
        <v>1035</v>
      </c>
      <c r="F25" s="540" t="s">
        <v>1035</v>
      </c>
      <c r="G25" s="459" t="s">
        <v>1035</v>
      </c>
      <c r="H25" s="459"/>
      <c r="I25" s="459" t="s">
        <v>1035</v>
      </c>
      <c r="J25" s="532"/>
      <c r="K25" s="538" t="s">
        <v>1037</v>
      </c>
      <c r="L25" s="543"/>
      <c r="M25" s="532" t="s">
        <v>1037</v>
      </c>
    </row>
    <row r="26" spans="1:15" s="287" customFormat="1" ht="14.25">
      <c r="A26" s="6" t="s">
        <v>152</v>
      </c>
      <c r="B26" s="460" t="s">
        <v>1092</v>
      </c>
      <c r="C26" s="548"/>
      <c r="D26" s="460" t="s">
        <v>1092</v>
      </c>
      <c r="E26" s="538" t="s">
        <v>1092</v>
      </c>
      <c r="F26" s="460" t="s">
        <v>1092</v>
      </c>
      <c r="G26" s="538" t="s">
        <v>1092</v>
      </c>
      <c r="H26" s="532"/>
      <c r="I26" s="532" t="s">
        <v>1092</v>
      </c>
      <c r="J26" s="532"/>
      <c r="K26" s="538" t="s">
        <v>1037</v>
      </c>
      <c r="L26" s="533"/>
      <c r="M26" s="532" t="s">
        <v>1037</v>
      </c>
    </row>
    <row r="27" spans="1:15">
      <c r="A27" s="531" t="s">
        <v>467</v>
      </c>
      <c r="B27" s="550">
        <v>200</v>
      </c>
      <c r="C27" s="550"/>
      <c r="D27" s="534"/>
      <c r="E27" s="539"/>
      <c r="F27" s="534"/>
      <c r="G27" s="539"/>
      <c r="H27" s="551"/>
      <c r="I27" s="551"/>
      <c r="J27" s="534"/>
      <c r="K27" s="539"/>
      <c r="L27" s="534"/>
      <c r="M27" s="534"/>
      <c r="N27" s="418"/>
      <c r="O27" s="418"/>
    </row>
    <row r="28" spans="1:15" ht="14.25">
      <c r="A28" s="531" t="s">
        <v>1093</v>
      </c>
      <c r="B28" s="550">
        <v>300</v>
      </c>
      <c r="C28" s="550"/>
      <c r="D28" s="552">
        <v>300</v>
      </c>
      <c r="E28" s="553">
        <v>300</v>
      </c>
      <c r="F28" s="552">
        <v>300</v>
      </c>
      <c r="G28" s="554"/>
      <c r="H28" s="555"/>
      <c r="I28" s="555"/>
      <c r="J28" s="532"/>
      <c r="K28" s="538"/>
      <c r="L28" s="535"/>
      <c r="M28" s="532"/>
      <c r="N28" s="300"/>
      <c r="O28" s="300"/>
    </row>
    <row r="29" spans="1:15" ht="14.25">
      <c r="A29" s="531" t="s">
        <v>1094</v>
      </c>
      <c r="B29" s="556" t="s">
        <v>1095</v>
      </c>
      <c r="C29" s="556"/>
      <c r="D29" s="556" t="s">
        <v>1095</v>
      </c>
      <c r="E29" s="554" t="s">
        <v>1095</v>
      </c>
      <c r="F29" s="556" t="s">
        <v>1095</v>
      </c>
      <c r="G29" s="554"/>
      <c r="H29" s="555"/>
      <c r="I29" s="555"/>
      <c r="J29" s="532"/>
      <c r="K29" s="538"/>
      <c r="L29" s="535"/>
      <c r="M29" s="532"/>
      <c r="N29" s="301"/>
      <c r="O29" s="301"/>
    </row>
    <row r="30" spans="1:15" ht="14.25">
      <c r="A30" s="531" t="s">
        <v>1096</v>
      </c>
      <c r="B30" s="550">
        <v>100</v>
      </c>
      <c r="C30" s="556"/>
      <c r="D30" s="550">
        <v>100</v>
      </c>
      <c r="E30" s="553">
        <v>100</v>
      </c>
      <c r="F30" s="550">
        <v>100</v>
      </c>
      <c r="G30" s="554"/>
      <c r="H30" s="555"/>
      <c r="I30" s="555"/>
      <c r="J30" s="532"/>
      <c r="K30" s="538"/>
      <c r="L30" s="535"/>
      <c r="M30" s="532"/>
      <c r="N30" s="301"/>
      <c r="O30" s="301"/>
    </row>
    <row r="31" spans="1:15" ht="14.25">
      <c r="A31" s="531" t="s">
        <v>1097</v>
      </c>
      <c r="B31" s="556"/>
      <c r="C31" s="556"/>
      <c r="D31" s="555"/>
      <c r="E31" s="554"/>
      <c r="F31" s="555"/>
      <c r="G31" s="561" t="s">
        <v>1098</v>
      </c>
      <c r="H31" s="562"/>
      <c r="I31" s="562"/>
      <c r="J31" s="532"/>
      <c r="K31" s="538"/>
      <c r="L31" s="535"/>
      <c r="M31" s="532"/>
      <c r="N31" s="300"/>
      <c r="O31" s="300"/>
    </row>
    <row r="32" spans="1:15" s="287" customFormat="1">
      <c r="A32" s="289" t="s">
        <v>153</v>
      </c>
      <c r="B32" s="461" t="s">
        <v>1035</v>
      </c>
      <c r="C32" s="461"/>
      <c r="D32" s="537" t="s">
        <v>1035</v>
      </c>
      <c r="E32" s="536" t="s">
        <v>1035</v>
      </c>
      <c r="F32" s="537" t="s">
        <v>1035</v>
      </c>
      <c r="G32" s="536" t="s">
        <v>1035</v>
      </c>
      <c r="H32" s="537"/>
      <c r="I32" s="537" t="s">
        <v>1035</v>
      </c>
      <c r="J32" s="537"/>
      <c r="K32" s="536" t="s">
        <v>1036</v>
      </c>
      <c r="L32" s="461"/>
      <c r="M32" s="461" t="s">
        <v>1036</v>
      </c>
    </row>
    <row r="33" spans="1:13">
      <c r="A33" s="290" t="s">
        <v>1038</v>
      </c>
      <c r="B33" s="286"/>
      <c r="C33" s="285"/>
      <c r="D33" s="286"/>
      <c r="E33" s="286"/>
      <c r="F33" s="286"/>
      <c r="G33" s="285"/>
      <c r="H33" s="285"/>
      <c r="I33" s="286"/>
      <c r="J33" s="285"/>
      <c r="K33" s="285"/>
      <c r="L33" s="285"/>
      <c r="M33" s="286"/>
    </row>
    <row r="34" spans="1:13" ht="15">
      <c r="A34" s="290" t="s">
        <v>1039</v>
      </c>
      <c r="B34" s="9"/>
      <c r="C34" s="291"/>
      <c r="D34" s="9"/>
      <c r="E34" s="9"/>
      <c r="F34" s="9"/>
      <c r="G34" s="291"/>
      <c r="H34" s="291"/>
      <c r="I34" s="292"/>
      <c r="J34" s="291"/>
      <c r="K34" s="291"/>
      <c r="L34" s="291"/>
      <c r="M34" s="293"/>
    </row>
    <row r="35" spans="1:13" ht="40.5" customHeight="1">
      <c r="A35" s="559" t="s">
        <v>1158</v>
      </c>
      <c r="B35" s="560"/>
      <c r="C35" s="560"/>
      <c r="D35" s="560"/>
      <c r="E35" s="560"/>
      <c r="F35" s="560"/>
      <c r="G35" s="560"/>
      <c r="H35" s="560"/>
      <c r="I35" s="560"/>
      <c r="J35" s="560"/>
      <c r="K35" s="560"/>
      <c r="L35" s="418"/>
      <c r="M35" s="418"/>
    </row>
    <row r="36" spans="1:13" ht="15">
      <c r="A36" s="559"/>
      <c r="B36" s="560"/>
      <c r="C36" s="560"/>
      <c r="D36" s="560"/>
      <c r="E36" s="560"/>
      <c r="F36" s="560"/>
      <c r="G36" s="560"/>
      <c r="H36" s="560"/>
      <c r="I36" s="560"/>
      <c r="J36" s="560"/>
      <c r="K36" s="560"/>
      <c r="L36" s="418"/>
      <c r="M36" s="129" t="s">
        <v>1116</v>
      </c>
    </row>
    <row r="37" spans="1:13" ht="16.5">
      <c r="A37" s="420"/>
      <c r="B37" s="419"/>
      <c r="C37" s="419"/>
      <c r="D37" s="419"/>
      <c r="E37" s="419"/>
      <c r="F37" s="419"/>
      <c r="G37" s="419"/>
      <c r="H37" s="419"/>
      <c r="I37" s="419"/>
      <c r="J37" s="419"/>
      <c r="K37" s="419"/>
      <c r="L37" s="418"/>
      <c r="M37" s="418"/>
    </row>
    <row r="38" spans="1:13">
      <c r="A38" s="418"/>
      <c r="B38" s="418"/>
      <c r="C38" s="418"/>
      <c r="D38" s="418"/>
      <c r="E38" s="418"/>
      <c r="F38" s="418"/>
      <c r="G38" s="418"/>
      <c r="H38" s="418"/>
      <c r="I38" s="418"/>
      <c r="J38" s="418"/>
      <c r="K38" s="418"/>
      <c r="L38" s="418"/>
      <c r="M38" s="418"/>
    </row>
    <row r="39" spans="1:13">
      <c r="A39" s="418"/>
      <c r="B39" s="418"/>
      <c r="C39" s="418"/>
      <c r="D39" s="418"/>
      <c r="E39" s="418"/>
      <c r="F39" s="418"/>
      <c r="G39" s="418"/>
      <c r="H39" s="418"/>
      <c r="I39" s="418"/>
      <c r="J39" s="418"/>
      <c r="K39" s="418"/>
      <c r="L39" s="418"/>
      <c r="M39" s="418"/>
    </row>
    <row r="40" spans="1:13">
      <c r="A40" s="418"/>
      <c r="B40" s="418"/>
      <c r="C40" s="418"/>
      <c r="D40" s="418"/>
      <c r="E40" s="418"/>
      <c r="F40" s="418"/>
      <c r="G40" s="418"/>
      <c r="H40" s="418"/>
      <c r="I40" s="418"/>
      <c r="J40" s="418"/>
      <c r="K40" s="418"/>
      <c r="L40" s="418"/>
      <c r="M40" s="418"/>
    </row>
    <row r="41" spans="1:13">
      <c r="A41" s="418"/>
      <c r="B41" s="418"/>
      <c r="C41" s="418"/>
      <c r="D41" s="418"/>
      <c r="E41" s="418"/>
      <c r="F41" s="418"/>
      <c r="G41" s="418"/>
      <c r="H41" s="418"/>
      <c r="I41" s="418"/>
      <c r="J41" s="418"/>
      <c r="K41" s="418"/>
      <c r="L41" s="418"/>
      <c r="M41" s="418"/>
    </row>
    <row r="42" spans="1:13">
      <c r="A42" s="418"/>
      <c r="B42" s="418"/>
      <c r="C42" s="418"/>
      <c r="D42" s="418"/>
      <c r="E42" s="418"/>
      <c r="F42" s="418"/>
      <c r="G42" s="418"/>
      <c r="H42" s="418"/>
      <c r="I42" s="418"/>
      <c r="J42" s="418"/>
      <c r="K42" s="418"/>
      <c r="L42" s="418"/>
      <c r="M42" s="418"/>
    </row>
    <row r="43" spans="1:13">
      <c r="A43" s="418"/>
      <c r="B43" s="418"/>
      <c r="C43" s="418"/>
      <c r="D43" s="418"/>
      <c r="E43" s="418"/>
      <c r="F43" s="418"/>
      <c r="G43" s="418"/>
      <c r="H43" s="418"/>
      <c r="I43" s="418"/>
      <c r="J43" s="418"/>
      <c r="K43" s="418"/>
      <c r="L43" s="418"/>
      <c r="M43" s="418"/>
    </row>
    <row r="44" spans="1:13">
      <c r="A44" s="418"/>
      <c r="B44" s="418"/>
      <c r="C44" s="418"/>
      <c r="D44" s="418"/>
      <c r="E44" s="418"/>
      <c r="F44" s="418"/>
      <c r="G44" s="418"/>
      <c r="H44" s="418"/>
      <c r="I44" s="418"/>
      <c r="J44" s="418"/>
      <c r="K44" s="418"/>
      <c r="L44" s="418"/>
      <c r="M44" s="418"/>
    </row>
    <row r="45" spans="1:13">
      <c r="A45" s="418"/>
      <c r="B45" s="418"/>
      <c r="C45" s="418"/>
      <c r="D45" s="418"/>
      <c r="E45" s="418"/>
      <c r="F45" s="418"/>
      <c r="G45" s="418"/>
      <c r="H45" s="418"/>
      <c r="I45" s="418"/>
      <c r="J45" s="418"/>
      <c r="K45" s="418"/>
      <c r="L45" s="418"/>
      <c r="M45" s="418"/>
    </row>
    <row r="46" spans="1:13">
      <c r="A46" s="418"/>
      <c r="B46" s="418"/>
      <c r="C46" s="418"/>
      <c r="D46" s="418"/>
      <c r="E46" s="418"/>
      <c r="F46" s="418"/>
      <c r="G46" s="418"/>
      <c r="H46" s="418"/>
      <c r="I46" s="418"/>
      <c r="J46" s="418"/>
      <c r="K46" s="418"/>
      <c r="L46" s="418"/>
      <c r="M46" s="418"/>
    </row>
    <row r="47" spans="1:13">
      <c r="A47" s="418"/>
      <c r="B47" s="418"/>
      <c r="C47" s="418"/>
      <c r="D47" s="418"/>
      <c r="E47" s="418"/>
      <c r="F47" s="418"/>
      <c r="G47" s="418"/>
      <c r="H47" s="418"/>
      <c r="I47" s="418"/>
      <c r="J47" s="418"/>
      <c r="K47" s="418"/>
      <c r="L47" s="418"/>
      <c r="M47" s="418"/>
    </row>
    <row r="48" spans="1:13">
      <c r="A48" s="418"/>
      <c r="B48" s="418"/>
      <c r="C48" s="418"/>
      <c r="D48" s="418"/>
      <c r="E48" s="418"/>
      <c r="F48" s="418"/>
      <c r="G48" s="418"/>
      <c r="H48" s="418"/>
      <c r="I48" s="418"/>
      <c r="J48" s="418"/>
      <c r="K48" s="418"/>
      <c r="L48" s="418"/>
      <c r="M48" s="418"/>
    </row>
    <row r="49" spans="1:13">
      <c r="A49" s="418"/>
      <c r="B49" s="418"/>
      <c r="C49" s="418"/>
      <c r="D49" s="418"/>
      <c r="E49" s="418"/>
      <c r="F49" s="418"/>
      <c r="G49" s="418"/>
      <c r="H49" s="418"/>
      <c r="I49" s="418"/>
      <c r="J49" s="418"/>
      <c r="K49" s="418"/>
      <c r="L49" s="418"/>
      <c r="M49" s="418"/>
    </row>
    <row r="50" spans="1:13">
      <c r="A50" s="418"/>
      <c r="B50" s="418"/>
      <c r="C50" s="418"/>
      <c r="D50" s="418"/>
      <c r="E50" s="418"/>
      <c r="F50" s="418"/>
      <c r="G50" s="418"/>
      <c r="H50" s="418"/>
      <c r="I50" s="418"/>
      <c r="J50" s="418"/>
      <c r="K50" s="418"/>
      <c r="L50" s="418"/>
      <c r="M50" s="418"/>
    </row>
    <row r="51" spans="1:13">
      <c r="A51" s="418"/>
      <c r="B51" s="418"/>
      <c r="C51" s="418"/>
      <c r="D51" s="418"/>
      <c r="E51" s="418"/>
      <c r="F51" s="418"/>
      <c r="G51" s="418"/>
      <c r="H51" s="418"/>
      <c r="I51" s="418"/>
      <c r="J51" s="418"/>
      <c r="K51" s="418"/>
      <c r="L51" s="418"/>
      <c r="M51" s="418"/>
    </row>
    <row r="52" spans="1:13">
      <c r="A52" s="418"/>
      <c r="B52" s="418"/>
      <c r="C52" s="418"/>
      <c r="D52" s="418"/>
      <c r="E52" s="418"/>
      <c r="F52" s="418"/>
      <c r="G52" s="418"/>
      <c r="H52" s="418"/>
      <c r="I52" s="418"/>
      <c r="J52" s="418"/>
      <c r="K52" s="418"/>
      <c r="L52" s="418"/>
      <c r="M52" s="418"/>
    </row>
  </sheetData>
  <mergeCells count="3">
    <mergeCell ref="A35:K35"/>
    <mergeCell ref="A36:K36"/>
    <mergeCell ref="G31:I31"/>
  </mergeCells>
  <pageMargins left="0.75" right="0.75" top="1" bottom="1" header="0.5" footer="0.5"/>
  <pageSetup scale="92" firstPageNumber="144" orientation="landscape" useFirstPageNumber="1" r:id="rId1"/>
  <headerFooter alignWithMargins="0">
    <oddHeader>&amp;R&amp;"Arial,Regular"&amp;8SREB-State Data Exchange</oddHeader>
    <oddFooter>&amp;C&amp;"Arial,Regular"&amp;10 &amp;P</oddFooter>
  </headerFooter>
  <legacyDrawing r:id="rId2"/>
</worksheet>
</file>

<file path=xl/worksheets/sheet2.xml><?xml version="1.0" encoding="utf-8"?>
<worksheet xmlns="http://schemas.openxmlformats.org/spreadsheetml/2006/main" xmlns:r="http://schemas.openxmlformats.org/officeDocument/2006/relationships">
  <sheetPr enableFormatConditionsCalculation="0">
    <tabColor indexed="16"/>
  </sheetPr>
  <dimension ref="A1:T259"/>
  <sheetViews>
    <sheetView showGridLines="0" showZeros="0" view="pageBreakPreview" topLeftCell="A241" zoomScaleNormal="100" zoomScaleSheetLayoutView="100" workbookViewId="0">
      <selection activeCell="I31" sqref="I31"/>
    </sheetView>
  </sheetViews>
  <sheetFormatPr defaultColWidth="9" defaultRowHeight="15"/>
  <cols>
    <col min="1" max="1" width="12" style="14" customWidth="1"/>
    <col min="2" max="7" width="8.625" style="14" customWidth="1"/>
    <col min="8" max="8" width="8.625" style="67" customWidth="1"/>
    <col min="9" max="9" width="5.75" style="14" customWidth="1"/>
    <col min="10" max="16384" width="9" style="14"/>
  </cols>
  <sheetData>
    <row r="1" spans="1:20" ht="18">
      <c r="A1" s="28" t="s">
        <v>1118</v>
      </c>
      <c r="B1" s="28"/>
      <c r="C1" s="28"/>
      <c r="D1" s="28"/>
      <c r="E1" s="28"/>
      <c r="F1" s="28"/>
      <c r="G1" s="28"/>
      <c r="H1" s="96"/>
    </row>
    <row r="2" spans="1:20" s="90" customFormat="1" ht="12.75">
      <c r="A2" s="70"/>
      <c r="B2" s="70"/>
      <c r="C2" s="70"/>
      <c r="D2" s="70"/>
      <c r="E2" s="70"/>
      <c r="F2" s="70"/>
      <c r="G2" s="70"/>
      <c r="H2" s="97"/>
    </row>
    <row r="3" spans="1:20" ht="15.75">
      <c r="A3" s="29" t="s">
        <v>136</v>
      </c>
      <c r="B3" s="29"/>
      <c r="C3" s="29"/>
      <c r="D3" s="29"/>
      <c r="E3" s="29"/>
      <c r="F3" s="29"/>
      <c r="G3" s="29"/>
      <c r="H3" s="98"/>
    </row>
    <row r="4" spans="1:20" ht="15.75">
      <c r="A4" s="29" t="s">
        <v>137</v>
      </c>
      <c r="B4" s="29"/>
      <c r="C4" s="29"/>
      <c r="D4" s="29"/>
      <c r="E4" s="29"/>
      <c r="F4" s="29"/>
      <c r="G4" s="29"/>
      <c r="H4" s="98"/>
      <c r="O4" s="94"/>
      <c r="P4" s="94"/>
      <c r="Q4" s="94"/>
      <c r="R4" s="94"/>
      <c r="S4" s="94"/>
      <c r="T4" s="94"/>
    </row>
    <row r="5" spans="1:20" ht="15.75">
      <c r="A5" s="29" t="s">
        <v>1041</v>
      </c>
      <c r="B5" s="29"/>
      <c r="C5" s="29"/>
      <c r="D5" s="29"/>
      <c r="E5" s="29"/>
      <c r="F5" s="29"/>
      <c r="G5" s="29"/>
      <c r="H5" s="98"/>
      <c r="O5" s="94"/>
      <c r="P5" s="94"/>
      <c r="Q5" s="94"/>
      <c r="R5" s="94"/>
      <c r="S5" s="94"/>
      <c r="T5" s="94"/>
    </row>
    <row r="6" spans="1:20" s="90" customFormat="1" ht="12.75">
      <c r="A6" s="2"/>
      <c r="B6" s="2"/>
      <c r="C6" s="2"/>
      <c r="D6" s="2"/>
      <c r="E6" s="2"/>
      <c r="F6" s="2"/>
      <c r="G6" s="2"/>
      <c r="H6" s="13"/>
      <c r="O6" s="68"/>
      <c r="P6" s="68"/>
      <c r="Q6" s="68"/>
      <c r="R6" s="68"/>
      <c r="S6" s="68"/>
      <c r="T6" s="68"/>
    </row>
    <row r="7" spans="1:20">
      <c r="A7" s="3"/>
      <c r="B7" s="4" t="s">
        <v>138</v>
      </c>
      <c r="C7" s="4"/>
      <c r="D7" s="4"/>
      <c r="E7" s="4"/>
      <c r="F7" s="4"/>
      <c r="G7" s="4"/>
      <c r="H7" s="99"/>
      <c r="O7" s="94"/>
      <c r="P7" s="94"/>
      <c r="Q7" s="94"/>
      <c r="R7" s="94"/>
      <c r="S7" s="94"/>
      <c r="T7" s="94"/>
    </row>
    <row r="8" spans="1:20" s="91" customFormat="1">
      <c r="A8" s="80"/>
      <c r="B8" s="79">
        <v>1</v>
      </c>
      <c r="C8" s="79">
        <v>2</v>
      </c>
      <c r="D8" s="79">
        <v>3</v>
      </c>
      <c r="E8" s="79">
        <v>4</v>
      </c>
      <c r="F8" s="79">
        <v>5</v>
      </c>
      <c r="G8" s="79">
        <v>6</v>
      </c>
      <c r="H8" s="100" t="s">
        <v>631</v>
      </c>
      <c r="O8" s="95"/>
      <c r="P8" s="95"/>
      <c r="Q8" s="95"/>
      <c r="R8" s="95"/>
      <c r="S8" s="95"/>
      <c r="T8" s="95"/>
    </row>
    <row r="9" spans="1:20" ht="12.75" customHeight="1">
      <c r="A9" s="5"/>
      <c r="B9" s="9"/>
      <c r="C9" s="9"/>
      <c r="D9" s="9"/>
      <c r="E9" s="9"/>
      <c r="F9" s="9"/>
      <c r="G9" s="52"/>
      <c r="H9" s="9"/>
      <c r="M9" s="92"/>
      <c r="N9" s="92"/>
      <c r="O9" s="94"/>
      <c r="P9" s="94"/>
      <c r="Q9" s="94"/>
      <c r="R9" s="94"/>
      <c r="S9" s="94"/>
      <c r="T9" s="94"/>
    </row>
    <row r="10" spans="1:20" ht="12.75" customHeight="1">
      <c r="A10" s="6" t="s">
        <v>316</v>
      </c>
      <c r="B10" s="17">
        <f>+'Summary Medians'!$D$275</f>
        <v>7151</v>
      </c>
      <c r="C10" s="17">
        <f>+'Summary Medians'!$D$276</f>
        <v>5704.5</v>
      </c>
      <c r="D10" s="17">
        <f>+'Summary Medians'!$D$277</f>
        <v>5804</v>
      </c>
      <c r="E10" s="17">
        <f>+'Summary Medians'!$D$278</f>
        <v>5611</v>
      </c>
      <c r="F10" s="17">
        <f>+'Summary Medians'!$D$279</f>
        <v>5087</v>
      </c>
      <c r="G10" s="17">
        <f>+'Summary Medians'!$D$280</f>
        <v>4838</v>
      </c>
      <c r="H10" s="18">
        <f>+'Summary Medians'!$D$281</f>
        <v>5670</v>
      </c>
      <c r="L10" s="6"/>
      <c r="M10" s="85"/>
      <c r="N10" s="84"/>
      <c r="O10" s="94"/>
      <c r="P10" s="94"/>
      <c r="Q10" s="94"/>
      <c r="R10" s="85"/>
      <c r="S10" s="94"/>
      <c r="T10" s="94"/>
    </row>
    <row r="11" spans="1:20" ht="12.75" customHeight="1">
      <c r="A11" s="6"/>
      <c r="B11" s="39"/>
      <c r="C11" s="39"/>
      <c r="D11" s="39"/>
      <c r="E11" s="39"/>
      <c r="F11" s="39"/>
      <c r="G11" s="40"/>
      <c r="H11" s="101"/>
      <c r="L11" s="6"/>
      <c r="M11" s="85"/>
      <c r="N11" s="84"/>
      <c r="O11" s="94"/>
      <c r="P11" s="94"/>
      <c r="Q11" s="94"/>
      <c r="R11" s="85"/>
      <c r="S11" s="94"/>
      <c r="T11" s="94"/>
    </row>
    <row r="12" spans="1:20" ht="12.75" customHeight="1">
      <c r="A12" s="2" t="s">
        <v>139</v>
      </c>
      <c r="B12" s="21">
        <f>+'Summary Medians'!$D$3</f>
        <v>6972</v>
      </c>
      <c r="C12" s="21">
        <f>+'Summary Medians'!$D$4</f>
        <v>6510</v>
      </c>
      <c r="D12" s="21">
        <f>+'Summary Medians'!$D$5</f>
        <v>6046</v>
      </c>
      <c r="E12" s="21">
        <f>+'Summary Medians'!$D$6</f>
        <v>6042</v>
      </c>
      <c r="F12" s="21">
        <f>+'Summary Medians'!$D$7</f>
        <v>6395</v>
      </c>
      <c r="G12" s="21">
        <f>+'Summary Medians'!$D$8</f>
        <v>4350</v>
      </c>
      <c r="H12" s="20">
        <f>+'Summary Medians'!$D$9</f>
        <v>6185</v>
      </c>
      <c r="L12" s="2"/>
      <c r="M12" s="85"/>
      <c r="N12" s="84"/>
      <c r="O12" s="94"/>
      <c r="P12" s="94"/>
      <c r="Q12" s="94"/>
      <c r="R12" s="85"/>
      <c r="S12" s="94"/>
      <c r="T12" s="94"/>
    </row>
    <row r="13" spans="1:20" ht="12.75" customHeight="1">
      <c r="A13" s="2" t="s">
        <v>140</v>
      </c>
      <c r="B13" s="21">
        <f>+'Summary Medians'!$D$20</f>
        <v>6459</v>
      </c>
      <c r="C13" s="21">
        <f>+'Summary Medians'!$D$21</f>
        <v>0</v>
      </c>
      <c r="D13" s="21">
        <f>+'Summary Medians'!$D$22</f>
        <v>6370</v>
      </c>
      <c r="E13" s="21">
        <f>+'Summary Medians'!$D$23</f>
        <v>5907</v>
      </c>
      <c r="F13" s="21">
        <f>+'Summary Medians'!$D$24</f>
        <v>5408</v>
      </c>
      <c r="G13" s="21">
        <f>+'Summary Medians'!$D$25</f>
        <v>4698</v>
      </c>
      <c r="H13" s="20">
        <f>+'Summary Medians'!$D$26</f>
        <v>6135</v>
      </c>
      <c r="L13" s="2"/>
      <c r="M13" s="85"/>
      <c r="N13" s="84"/>
      <c r="O13" s="94"/>
      <c r="P13" s="94"/>
      <c r="Q13" s="94"/>
      <c r="R13" s="85"/>
      <c r="S13" s="94"/>
      <c r="T13" s="94"/>
    </row>
    <row r="14" spans="1:20" ht="12.75" customHeight="1">
      <c r="A14" s="2" t="s">
        <v>211</v>
      </c>
      <c r="B14" s="21">
        <f>+'Summary Medians'!$D$37</f>
        <v>9486</v>
      </c>
      <c r="C14" s="21">
        <f>+'Summary Medians'!$D$38</f>
        <v>0</v>
      </c>
      <c r="D14" s="21">
        <f>+'Summary Medians'!$D$39</f>
        <v>0</v>
      </c>
      <c r="E14" s="21">
        <f>+'Summary Medians'!$D$40</f>
        <v>6481</v>
      </c>
      <c r="F14" s="21">
        <f>+'Summary Medians'!$D$41</f>
        <v>0</v>
      </c>
      <c r="G14" s="21">
        <f>+'Summary Medians'!$D$42</f>
        <v>0</v>
      </c>
      <c r="H14" s="20">
        <f>+'Summary Medians'!$D$43</f>
        <v>7983.5</v>
      </c>
      <c r="L14" s="2"/>
      <c r="M14" s="85"/>
      <c r="N14" s="84"/>
      <c r="O14" s="94"/>
      <c r="P14" s="94"/>
      <c r="Q14" s="94"/>
      <c r="R14" s="85"/>
      <c r="S14" s="94"/>
      <c r="T14" s="94"/>
    </row>
    <row r="15" spans="1:20" s="69" customFormat="1" ht="12.75" customHeight="1">
      <c r="A15" s="6" t="s">
        <v>141</v>
      </c>
      <c r="B15" s="19">
        <f>+'Summary Medians'!$D$54</f>
        <v>4566.1099999999997</v>
      </c>
      <c r="C15" s="19">
        <f>+'Summary Medians'!$D$55</f>
        <v>4311.3100000000004</v>
      </c>
      <c r="D15" s="19">
        <f>+'Summary Medians'!$D$56</f>
        <v>4193.41</v>
      </c>
      <c r="E15" s="19">
        <f>+'Summary Medians'!$D$57</f>
        <v>4426.51</v>
      </c>
      <c r="F15" s="19">
        <f>+'Summary Medians'!$D$58</f>
        <v>0</v>
      </c>
      <c r="G15" s="19">
        <f>+'Summary Medians'!$D$59</f>
        <v>3986.41</v>
      </c>
      <c r="H15" s="20">
        <f>+'Summary Medians'!$D$60</f>
        <v>4372.8100000000004</v>
      </c>
      <c r="I15" s="303"/>
      <c r="L15" s="6"/>
      <c r="M15" s="85"/>
      <c r="N15" s="84"/>
      <c r="O15" s="94"/>
      <c r="P15" s="94"/>
      <c r="Q15" s="94"/>
      <c r="R15" s="85"/>
      <c r="S15" s="94"/>
      <c r="T15" s="67"/>
    </row>
    <row r="16" spans="1:20" s="516" customFormat="1" ht="12.75" customHeight="1">
      <c r="A16" s="6"/>
      <c r="B16" s="19"/>
      <c r="C16" s="19"/>
      <c r="D16" s="19"/>
      <c r="E16" s="19"/>
      <c r="F16" s="19"/>
      <c r="G16" s="19"/>
      <c r="H16" s="20"/>
      <c r="L16" s="6"/>
      <c r="M16" s="85"/>
      <c r="N16" s="84"/>
      <c r="O16" s="94"/>
      <c r="P16" s="94"/>
      <c r="Q16" s="94"/>
      <c r="R16" s="85"/>
      <c r="S16" s="94"/>
      <c r="T16" s="67"/>
    </row>
    <row r="17" spans="1:20" ht="12.75" customHeight="1">
      <c r="A17" s="6" t="s">
        <v>142</v>
      </c>
      <c r="B17" s="19">
        <f>+'Summary Medians'!$D$71</f>
        <v>7614</v>
      </c>
      <c r="C17" s="19">
        <f>+'Summary Medians'!$D$72</f>
        <v>7606</v>
      </c>
      <c r="D17" s="19">
        <f>+'Summary Medians'!$D$73</f>
        <v>5540</v>
      </c>
      <c r="E17" s="19">
        <f>+'Summary Medians'!$D$74</f>
        <v>5099</v>
      </c>
      <c r="F17" s="19">
        <f>+'Summary Medians'!$D$75</f>
        <v>4857</v>
      </c>
      <c r="G17" s="19">
        <f>+'Summary Medians'!$D$76</f>
        <v>3882.5</v>
      </c>
      <c r="H17" s="20">
        <f>+'Summary Medians'!$D$77</f>
        <v>5093</v>
      </c>
      <c r="L17" s="6"/>
      <c r="M17" s="85"/>
      <c r="N17" s="84"/>
      <c r="O17" s="94"/>
      <c r="P17" s="94"/>
      <c r="Q17" s="94"/>
      <c r="R17" s="85"/>
      <c r="S17" s="94"/>
      <c r="T17" s="94"/>
    </row>
    <row r="18" spans="1:20" ht="12.75" customHeight="1">
      <c r="A18" s="2" t="s">
        <v>143</v>
      </c>
      <c r="B18" s="19">
        <f>+'Summary Medians'!$D$88</f>
        <v>8092.5</v>
      </c>
      <c r="C18" s="21">
        <f>+'Summary Medians'!$D$89</f>
        <v>0</v>
      </c>
      <c r="D18" s="21">
        <f>+'Summary Medians'!$D$90</f>
        <v>6312</v>
      </c>
      <c r="E18" s="21">
        <f>+'Summary Medians'!$D$91</f>
        <v>6415</v>
      </c>
      <c r="F18" s="21">
        <f>+'Summary Medians'!$D$92</f>
        <v>5920</v>
      </c>
      <c r="G18" s="21">
        <f>+'Summary Medians'!$D$93</f>
        <v>0</v>
      </c>
      <c r="H18" s="20">
        <f>+'Summary Medians'!$D$94</f>
        <v>6552</v>
      </c>
      <c r="L18" s="2"/>
      <c r="M18" s="85"/>
      <c r="N18" s="84"/>
      <c r="O18" s="94"/>
      <c r="P18" s="94"/>
      <c r="Q18" s="94"/>
      <c r="R18" s="85"/>
      <c r="S18" s="94"/>
      <c r="T18" s="94"/>
    </row>
    <row r="19" spans="1:20" ht="12.75" customHeight="1">
      <c r="A19" s="2" t="s">
        <v>144</v>
      </c>
      <c r="B19" s="19">
        <f>+'Summary Medians'!$D$105</f>
        <v>5233.3999999999996</v>
      </c>
      <c r="C19" s="19">
        <f>+'Summary Medians'!$D$106</f>
        <v>4372</v>
      </c>
      <c r="D19" s="19">
        <f>+'Summary Medians'!$D$107</f>
        <v>4023.9</v>
      </c>
      <c r="E19" s="19">
        <f>+'Summary Medians'!$D$108</f>
        <v>3945</v>
      </c>
      <c r="F19" s="19">
        <f>+'Summary Medians'!$D$109</f>
        <v>0</v>
      </c>
      <c r="G19" s="19">
        <f>+'Summary Medians'!$D$110</f>
        <v>0</v>
      </c>
      <c r="H19" s="20">
        <f>+'Summary Medians'!$D$111</f>
        <v>4016</v>
      </c>
      <c r="L19" s="2"/>
      <c r="M19" s="85"/>
      <c r="N19" s="84"/>
      <c r="O19" s="94"/>
      <c r="P19" s="94"/>
      <c r="Q19" s="94"/>
      <c r="R19" s="85"/>
      <c r="S19" s="94"/>
      <c r="T19" s="94"/>
    </row>
    <row r="20" spans="1:20" ht="12.75" customHeight="1">
      <c r="A20" s="6" t="s">
        <v>145</v>
      </c>
      <c r="B20" s="19">
        <f>+'Summary Medians'!$D$122</f>
        <v>8053</v>
      </c>
      <c r="C20" s="19">
        <f>+'Summary Medians'!$D$123</f>
        <v>8872</v>
      </c>
      <c r="D20" s="19">
        <f>+'Summary Medians'!$D$124</f>
        <v>6983</v>
      </c>
      <c r="E20" s="19">
        <f>+'Summary Medians'!$D$125</f>
        <v>6350</v>
      </c>
      <c r="F20" s="19">
        <f>+'Summary Medians'!$D$126</f>
        <v>0</v>
      </c>
      <c r="G20" s="19">
        <f>+'Summary Medians'!$D$127</f>
        <v>13234</v>
      </c>
      <c r="H20" s="20">
        <f>+'Summary Medians'!$D$128</f>
        <v>6684</v>
      </c>
      <c r="L20" s="6"/>
      <c r="M20" s="85"/>
      <c r="N20" s="84"/>
      <c r="O20" s="94"/>
      <c r="P20" s="94"/>
      <c r="Q20" s="94"/>
      <c r="R20" s="85"/>
      <c r="S20" s="94"/>
      <c r="T20" s="94"/>
    </row>
    <row r="21" spans="1:20" ht="12.75" customHeight="1">
      <c r="A21" s="6"/>
      <c r="B21" s="19"/>
      <c r="C21" s="19"/>
      <c r="D21" s="19"/>
      <c r="E21" s="19"/>
      <c r="F21" s="19"/>
      <c r="G21" s="19"/>
      <c r="H21" s="20"/>
      <c r="L21" s="6"/>
      <c r="M21" s="85"/>
      <c r="N21" s="84"/>
      <c r="O21" s="94"/>
      <c r="P21" s="94"/>
      <c r="Q21" s="94"/>
      <c r="R21" s="85"/>
      <c r="S21" s="94"/>
      <c r="T21" s="94"/>
    </row>
    <row r="22" spans="1:20" ht="12.75" customHeight="1">
      <c r="A22" s="2" t="s">
        <v>146</v>
      </c>
      <c r="B22" s="21">
        <f>+'Summary Medians'!$D$139</f>
        <v>5123.5</v>
      </c>
      <c r="C22" s="21">
        <f>+'Summary Medians'!$D$140</f>
        <v>4870.5</v>
      </c>
      <c r="D22" s="21">
        <f>+'Summary Medians'!$D$141</f>
        <v>0</v>
      </c>
      <c r="E22" s="21">
        <f>+'Summary Medians'!$D$142</f>
        <v>4498</v>
      </c>
      <c r="F22" s="21">
        <f>+'Summary Medians'!$D$143</f>
        <v>4423</v>
      </c>
      <c r="G22" s="21">
        <f>+'Summary Medians'!$D$144</f>
        <v>0</v>
      </c>
      <c r="H22" s="20">
        <f>+'Summary Medians'!$D$145</f>
        <v>4604.5</v>
      </c>
      <c r="L22" s="2"/>
      <c r="M22" s="85"/>
      <c r="N22" s="84"/>
      <c r="O22" s="94"/>
      <c r="P22" s="94"/>
      <c r="Q22" s="94"/>
      <c r="R22" s="85"/>
      <c r="S22" s="94"/>
      <c r="T22" s="94"/>
    </row>
    <row r="23" spans="1:20" ht="12.75" customHeight="1">
      <c r="A23" s="2" t="s">
        <v>147</v>
      </c>
      <c r="B23" s="21">
        <f>+'Summary Medians'!$D$156</f>
        <v>5550</v>
      </c>
      <c r="C23" s="21">
        <f>+'Summary Medians'!$D$157</f>
        <v>4330.5</v>
      </c>
      <c r="D23" s="21">
        <f>+'Summary Medians'!$D$158</f>
        <v>4403.5</v>
      </c>
      <c r="E23" s="21">
        <f>+'Summary Medians'!$D$159</f>
        <v>3177</v>
      </c>
      <c r="F23" s="21">
        <f>+'Summary Medians'!$D$160</f>
        <v>3629</v>
      </c>
      <c r="G23" s="21">
        <f>+'Summary Medians'!$D$161</f>
        <v>3681</v>
      </c>
      <c r="H23" s="20">
        <f>+'Summary Medians'!$D$162</f>
        <v>4330</v>
      </c>
      <c r="L23" s="2"/>
      <c r="M23" s="85"/>
      <c r="N23" s="84"/>
      <c r="O23" s="94"/>
      <c r="P23" s="94"/>
      <c r="Q23" s="94"/>
      <c r="R23" s="85"/>
      <c r="S23" s="94"/>
      <c r="T23" s="94"/>
    </row>
    <row r="24" spans="1:20" ht="12.75" customHeight="1">
      <c r="A24" s="2" t="s">
        <v>148</v>
      </c>
      <c r="B24" s="21">
        <f>+'Summary Medians'!$D$173</f>
        <v>6347</v>
      </c>
      <c r="C24" s="21">
        <f>+'Summary Medians'!$D$174</f>
        <v>0</v>
      </c>
      <c r="D24" s="21">
        <f>+'Summary Medians'!$D$175</f>
        <v>4189</v>
      </c>
      <c r="E24" s="21">
        <f>+'Summary Medians'!$D$176</f>
        <v>0</v>
      </c>
      <c r="F24" s="21">
        <f>+'Summary Medians'!$D$177</f>
        <v>4110</v>
      </c>
      <c r="G24" s="21">
        <f>+'Summary Medians'!$D$178</f>
        <v>4277</v>
      </c>
      <c r="H24" s="20">
        <f>+'Summary Medians'!$D$179</f>
        <v>4221</v>
      </c>
      <c r="L24" s="2"/>
      <c r="M24" s="85"/>
      <c r="N24" s="84"/>
      <c r="O24" s="94"/>
      <c r="P24" s="94"/>
      <c r="Q24" s="94"/>
      <c r="R24" s="85"/>
      <c r="S24" s="94"/>
      <c r="T24" s="94"/>
    </row>
    <row r="25" spans="1:20" ht="12.75" customHeight="1">
      <c r="A25" s="2" t="s">
        <v>149</v>
      </c>
      <c r="B25" s="21">
        <f>+'Summary Medians'!$D$190</f>
        <v>10117</v>
      </c>
      <c r="C25" s="21">
        <f>+'Summary Medians'!$D$191</f>
        <v>0</v>
      </c>
      <c r="D25" s="21">
        <f>+'Summary Medians'!$D$192</f>
        <v>10297</v>
      </c>
      <c r="E25" s="21">
        <f>+'Summary Medians'!$D$193</f>
        <v>8735</v>
      </c>
      <c r="F25" s="21">
        <f>+'Summary Medians'!$D$194</f>
        <v>8462</v>
      </c>
      <c r="G25" s="21">
        <f>+'Summary Medians'!$D$195</f>
        <v>8642</v>
      </c>
      <c r="H25" s="20">
        <f>+'Summary Medians'!$D$196</f>
        <v>8760</v>
      </c>
      <c r="L25" s="2"/>
      <c r="M25" s="85"/>
      <c r="N25" s="84"/>
      <c r="O25" s="94"/>
      <c r="P25" s="94"/>
      <c r="Q25" s="94"/>
      <c r="R25" s="85"/>
      <c r="S25" s="94"/>
      <c r="T25" s="94"/>
    </row>
    <row r="26" spans="1:20" ht="12.75" customHeight="1">
      <c r="A26" s="2"/>
      <c r="B26" s="21"/>
      <c r="C26" s="21"/>
      <c r="D26" s="21"/>
      <c r="E26" s="21"/>
      <c r="F26" s="21"/>
      <c r="G26" s="21"/>
      <c r="H26" s="20"/>
      <c r="L26" s="2"/>
      <c r="M26" s="85"/>
      <c r="N26" s="84"/>
      <c r="O26" s="94"/>
      <c r="P26" s="94"/>
      <c r="Q26" s="94"/>
      <c r="R26" s="85"/>
      <c r="S26" s="94"/>
      <c r="T26" s="94"/>
    </row>
    <row r="27" spans="1:20" ht="12.75" customHeight="1">
      <c r="A27" s="2" t="s">
        <v>150</v>
      </c>
      <c r="B27" s="21">
        <f>+'Summary Medians'!$D$207</f>
        <v>6687</v>
      </c>
      <c r="C27" s="21">
        <f>+'Summary Medians'!$D$208</f>
        <v>0</v>
      </c>
      <c r="D27" s="21">
        <f>+'Summary Medians'!$D$209</f>
        <v>5593</v>
      </c>
      <c r="E27" s="21">
        <f>+'Summary Medians'!$D$210</f>
        <v>5868</v>
      </c>
      <c r="F27" s="21">
        <f>+'Summary Medians'!$D$211</f>
        <v>5769</v>
      </c>
      <c r="G27" s="21">
        <f>+'Summary Medians'!$D$212</f>
        <v>0</v>
      </c>
      <c r="H27" s="20">
        <f>+'Summary Medians'!$D$213</f>
        <v>5769</v>
      </c>
      <c r="L27" s="2"/>
      <c r="M27" s="85"/>
      <c r="N27" s="84"/>
      <c r="O27" s="94"/>
      <c r="P27" s="94"/>
      <c r="Q27" s="94"/>
      <c r="R27" s="85"/>
      <c r="S27" s="94"/>
      <c r="T27" s="94"/>
    </row>
    <row r="28" spans="1:20" s="69" customFormat="1" ht="12.75" customHeight="1">
      <c r="A28" s="6" t="s">
        <v>328</v>
      </c>
      <c r="B28" s="19">
        <f>+'Summary Medians'!$D$224</f>
        <v>8186</v>
      </c>
      <c r="C28" s="19">
        <f>+'Summary Medians'!$D$225</f>
        <v>6308</v>
      </c>
      <c r="D28" s="19">
        <f>+'Summary Medians'!$D$226</f>
        <v>6136</v>
      </c>
      <c r="E28" s="19">
        <f>+'Summary Medians'!$D$227</f>
        <v>5553</v>
      </c>
      <c r="F28" s="19">
        <f>+'Summary Medians'!$D$228</f>
        <v>5291</v>
      </c>
      <c r="G28" s="19">
        <f>+'Summary Medians'!$D$229</f>
        <v>7186</v>
      </c>
      <c r="H28" s="20">
        <f>+'Summary Medians'!$D$230</f>
        <v>6308</v>
      </c>
      <c r="L28" s="6"/>
      <c r="M28" s="42"/>
      <c r="N28" s="123"/>
      <c r="O28" s="94"/>
      <c r="P28" s="94"/>
      <c r="Q28" s="94"/>
      <c r="R28" s="67"/>
      <c r="S28" s="67"/>
      <c r="T28" s="67"/>
    </row>
    <row r="29" spans="1:20" ht="12.75" customHeight="1">
      <c r="A29" s="2" t="s">
        <v>152</v>
      </c>
      <c r="B29" s="21">
        <f>+'Summary Medians'!$D$241</f>
        <v>8314.5</v>
      </c>
      <c r="C29" s="21">
        <f>+'Summary Medians'!$D$242</f>
        <v>7318</v>
      </c>
      <c r="D29" s="21">
        <f>+'Summary Medians'!$D$243</f>
        <v>7074</v>
      </c>
      <c r="E29" s="21">
        <f>+'Summary Medians'!$D$244</f>
        <v>6174</v>
      </c>
      <c r="F29" s="21">
        <f>+'Summary Medians'!$D$245</f>
        <v>8121.5</v>
      </c>
      <c r="G29" s="21">
        <f>+'Summary Medians'!$D$246</f>
        <v>6748</v>
      </c>
      <c r="H29" s="20">
        <f>+'Summary Medians'!$D$247</f>
        <v>7281</v>
      </c>
      <c r="L29" s="2"/>
      <c r="M29" s="85"/>
      <c r="N29" s="84"/>
      <c r="O29" s="94"/>
      <c r="P29" s="94"/>
      <c r="Q29" s="94"/>
      <c r="R29" s="94"/>
      <c r="S29" s="94"/>
      <c r="T29" s="94"/>
    </row>
    <row r="30" spans="1:20" ht="12.75" customHeight="1">
      <c r="A30" s="8" t="s">
        <v>153</v>
      </c>
      <c r="B30" s="23">
        <f>+'Summary Medians'!$D$258</f>
        <v>5304</v>
      </c>
      <c r="C30" s="23">
        <f>+'Summary Medians'!$D$259</f>
        <v>0</v>
      </c>
      <c r="D30" s="23">
        <f>+'Summary Medians'!$D$260</f>
        <v>5236</v>
      </c>
      <c r="E30" s="23">
        <f>+'Summary Medians'!$D$261</f>
        <v>0</v>
      </c>
      <c r="F30" s="23">
        <f>+'Summary Medians'!$D$262</f>
        <v>4952</v>
      </c>
      <c r="G30" s="23">
        <f>+'Summary Medians'!$D$263</f>
        <v>4888</v>
      </c>
      <c r="H30" s="24">
        <f>+'Summary Medians'!$D$264</f>
        <v>4963</v>
      </c>
      <c r="L30" s="5"/>
      <c r="M30" s="85"/>
      <c r="N30" s="84"/>
      <c r="O30" s="94"/>
      <c r="P30" s="94"/>
      <c r="Q30" s="94"/>
      <c r="R30" s="94"/>
      <c r="S30" s="94"/>
      <c r="T30" s="94"/>
    </row>
    <row r="31" spans="1:20" ht="40.5" customHeight="1">
      <c r="A31" s="563" t="s">
        <v>156</v>
      </c>
      <c r="B31" s="563"/>
      <c r="C31" s="563"/>
      <c r="D31" s="563"/>
      <c r="E31" s="563"/>
      <c r="F31" s="563"/>
      <c r="G31" s="563"/>
      <c r="H31" s="563"/>
      <c r="O31" s="94"/>
      <c r="P31" s="94"/>
      <c r="Q31" s="94"/>
      <c r="R31" s="94"/>
      <c r="S31" s="94"/>
      <c r="T31" s="94"/>
    </row>
    <row r="32" spans="1:20" ht="12.75" customHeight="1">
      <c r="A32" s="16"/>
      <c r="B32" s="16"/>
      <c r="C32" s="16"/>
      <c r="D32" s="16"/>
      <c r="E32" s="16"/>
      <c r="F32" s="16"/>
      <c r="G32" s="16"/>
      <c r="H32" s="102"/>
      <c r="O32" s="94"/>
      <c r="P32" s="94"/>
      <c r="Q32" s="94"/>
      <c r="R32" s="94"/>
      <c r="S32" s="94"/>
      <c r="T32" s="94"/>
    </row>
    <row r="33" spans="1:19">
      <c r="H33" s="129" t="s">
        <v>1116</v>
      </c>
    </row>
    <row r="34" spans="1:19" ht="18">
      <c r="A34" s="564" t="s">
        <v>1119</v>
      </c>
      <c r="B34" s="564"/>
      <c r="C34" s="564"/>
      <c r="D34" s="564"/>
      <c r="E34" s="564"/>
      <c r="F34" s="564"/>
      <c r="G34" s="564"/>
      <c r="H34" s="564"/>
      <c r="I34" s="564"/>
      <c r="J34" s="564"/>
    </row>
    <row r="35" spans="1:19" ht="9.75" customHeight="1">
      <c r="A35" s="72"/>
      <c r="B35" s="72"/>
      <c r="C35" s="72"/>
      <c r="D35" s="72"/>
      <c r="E35" s="72"/>
      <c r="F35" s="72"/>
      <c r="G35" s="72"/>
      <c r="H35" s="72"/>
      <c r="I35" s="72"/>
      <c r="J35" s="103"/>
      <c r="K35" s="90"/>
      <c r="L35" s="90"/>
      <c r="M35" s="90"/>
      <c r="N35" s="90"/>
      <c r="O35" s="90"/>
      <c r="P35" s="90"/>
      <c r="Q35" s="90"/>
      <c r="R35" s="90"/>
      <c r="S35" s="90"/>
    </row>
    <row r="36" spans="1:19" ht="15.75">
      <c r="A36" s="565" t="s">
        <v>136</v>
      </c>
      <c r="B36" s="565"/>
      <c r="C36" s="565"/>
      <c r="D36" s="565"/>
      <c r="E36" s="565"/>
      <c r="F36" s="565"/>
      <c r="G36" s="565"/>
      <c r="H36" s="565"/>
      <c r="I36" s="565"/>
      <c r="J36" s="565"/>
    </row>
    <row r="37" spans="1:19" ht="15.75">
      <c r="A37" s="565" t="s">
        <v>137</v>
      </c>
      <c r="B37" s="565"/>
      <c r="C37" s="565"/>
      <c r="D37" s="565"/>
      <c r="E37" s="565"/>
      <c r="F37" s="565"/>
      <c r="G37" s="565"/>
      <c r="H37" s="565"/>
      <c r="I37" s="565"/>
      <c r="J37" s="565"/>
    </row>
    <row r="38" spans="1:19" ht="15.75">
      <c r="A38" s="565" t="s">
        <v>1042</v>
      </c>
      <c r="B38" s="565"/>
      <c r="C38" s="565"/>
      <c r="D38" s="565"/>
      <c r="E38" s="565"/>
      <c r="F38" s="565"/>
      <c r="G38" s="565"/>
      <c r="H38" s="565"/>
      <c r="I38" s="565"/>
      <c r="J38" s="565"/>
    </row>
    <row r="39" spans="1:19" ht="10.5" customHeight="1">
      <c r="A39" s="2"/>
      <c r="B39" s="2"/>
      <c r="C39" s="2"/>
      <c r="D39" s="2"/>
      <c r="E39" s="2"/>
      <c r="F39" s="2"/>
      <c r="G39" s="2"/>
      <c r="H39" s="2"/>
      <c r="I39" s="2"/>
      <c r="J39" s="6"/>
      <c r="K39" s="90"/>
      <c r="L39" s="90"/>
      <c r="M39" s="90"/>
      <c r="N39" s="90"/>
      <c r="O39" s="90"/>
      <c r="P39" s="90"/>
      <c r="Q39" s="90"/>
      <c r="R39" s="90"/>
      <c r="S39" s="90"/>
    </row>
    <row r="40" spans="1:19">
      <c r="A40" s="3"/>
      <c r="B40" s="4" t="s">
        <v>548</v>
      </c>
      <c r="C40" s="4"/>
      <c r="D40" s="4"/>
      <c r="E40" s="4"/>
      <c r="F40" s="44"/>
      <c r="G40" s="43" t="s">
        <v>228</v>
      </c>
      <c r="H40" s="4"/>
      <c r="I40" s="4"/>
      <c r="J40" s="104"/>
      <c r="L40" s="93"/>
      <c r="M40" s="93"/>
      <c r="N40" s="93"/>
      <c r="O40" s="93"/>
      <c r="P40" s="93"/>
      <c r="Q40" s="93"/>
      <c r="R40" s="93"/>
      <c r="S40" s="93"/>
    </row>
    <row r="41" spans="1:19" ht="31.5" customHeight="1">
      <c r="A41" s="80"/>
      <c r="B41" s="557" t="s">
        <v>302</v>
      </c>
      <c r="C41" s="79">
        <v>1</v>
      </c>
      <c r="D41" s="79">
        <v>2</v>
      </c>
      <c r="E41" s="79">
        <v>3</v>
      </c>
      <c r="F41" s="81" t="s">
        <v>631</v>
      </c>
      <c r="G41" s="79">
        <v>1</v>
      </c>
      <c r="H41" s="79">
        <v>2</v>
      </c>
      <c r="I41" s="45" t="s">
        <v>223</v>
      </c>
      <c r="J41" s="100" t="s">
        <v>631</v>
      </c>
      <c r="K41" s="91"/>
      <c r="L41" s="92"/>
      <c r="M41" s="92"/>
      <c r="N41" s="92"/>
      <c r="O41" s="92"/>
      <c r="P41" s="92"/>
      <c r="Q41" s="92"/>
      <c r="R41" s="92"/>
      <c r="S41" s="92"/>
    </row>
    <row r="42" spans="1:19" ht="9.75" customHeight="1">
      <c r="A42" s="5"/>
      <c r="B42" s="9"/>
      <c r="C42" s="9"/>
      <c r="D42" s="9"/>
      <c r="E42" s="52"/>
      <c r="F42" s="53"/>
      <c r="G42" s="55"/>
      <c r="H42" s="56"/>
      <c r="I42" s="57"/>
      <c r="J42" s="56"/>
      <c r="L42" s="93"/>
      <c r="M42" s="93"/>
      <c r="N42" s="93"/>
      <c r="O42" s="93"/>
      <c r="P42" s="93"/>
      <c r="Q42" s="93"/>
      <c r="R42" s="93"/>
      <c r="S42" s="93"/>
    </row>
    <row r="43" spans="1:19">
      <c r="A43" s="6" t="s">
        <v>316</v>
      </c>
      <c r="B43" s="17">
        <f>'Summary Medians'!D282</f>
        <v>2625</v>
      </c>
      <c r="C43" s="17">
        <f>'Summary Medians'!D283</f>
        <v>2409.1999999999998</v>
      </c>
      <c r="D43" s="17">
        <f>'Summary Medians'!D284</f>
        <v>2560.8000000000002</v>
      </c>
      <c r="E43" s="17">
        <f>'Summary Medians'!D285</f>
        <v>2700</v>
      </c>
      <c r="F43" s="31">
        <f>+'Summary Medians'!$D$286</f>
        <v>2577.6999999999998</v>
      </c>
      <c r="G43" s="18">
        <f>+'Summary Medians'!$D$287</f>
        <v>2055</v>
      </c>
      <c r="H43" s="41">
        <f>+'Summary Medians'!$D$288</f>
        <v>2043</v>
      </c>
      <c r="I43" s="54">
        <f>+'Summary Medians'!$D$289</f>
        <v>974</v>
      </c>
      <c r="J43" s="18">
        <f>+'Summary Medians'!$D$290</f>
        <v>1800</v>
      </c>
      <c r="L43" s="84"/>
      <c r="M43" s="85"/>
      <c r="N43" s="6"/>
      <c r="O43" s="85"/>
      <c r="P43" s="6"/>
      <c r="Q43" s="84"/>
      <c r="R43" s="85"/>
      <c r="S43" s="6"/>
    </row>
    <row r="44" spans="1:19" ht="12" customHeight="1">
      <c r="A44" s="6"/>
      <c r="B44" s="39"/>
      <c r="C44" s="39"/>
      <c r="D44" s="39"/>
      <c r="E44" s="39"/>
      <c r="F44" s="32"/>
      <c r="G44" s="20"/>
      <c r="H44" s="42"/>
      <c r="I44" s="47"/>
      <c r="J44" s="20"/>
      <c r="L44" s="84"/>
      <c r="M44" s="85"/>
      <c r="N44" s="6"/>
      <c r="O44" s="85"/>
      <c r="P44" s="6"/>
      <c r="Q44" s="84"/>
      <c r="R44" s="85"/>
      <c r="S44" s="6"/>
    </row>
    <row r="45" spans="1:19">
      <c r="A45" s="2" t="s">
        <v>139</v>
      </c>
      <c r="B45" s="21">
        <f>'Summary Medians'!D10</f>
        <v>0</v>
      </c>
      <c r="C45" s="21">
        <f>'Summary Medians'!D11</f>
        <v>2955</v>
      </c>
      <c r="D45" s="21">
        <f>'Summary Medians'!D12</f>
        <v>2700</v>
      </c>
      <c r="E45" s="21">
        <f>'Summary Medians'!D13</f>
        <v>2700</v>
      </c>
      <c r="F45" s="33">
        <f>+'Summary Medians'!$D$14</f>
        <v>2700</v>
      </c>
      <c r="G45" s="22">
        <f>+'Summary Medians'!$D$15</f>
        <v>2700</v>
      </c>
      <c r="H45" s="25">
        <f>+'Summary Medians'!$D$16</f>
        <v>2700</v>
      </c>
      <c r="I45" s="46">
        <f>+'Summary Medians'!$D$17</f>
        <v>0</v>
      </c>
      <c r="J45" s="20">
        <f>+'Summary Medians'!$D$18</f>
        <v>2700</v>
      </c>
      <c r="L45" s="84"/>
      <c r="M45" s="85"/>
      <c r="N45" s="2"/>
      <c r="O45" s="85"/>
      <c r="P45" s="2"/>
      <c r="Q45" s="84"/>
      <c r="R45" s="85"/>
      <c r="S45" s="2"/>
    </row>
    <row r="46" spans="1:19">
      <c r="A46" s="2" t="s">
        <v>140</v>
      </c>
      <c r="B46" s="21">
        <f>'Summary Medians'!D27</f>
        <v>0</v>
      </c>
      <c r="C46" s="21">
        <f>'Summary Medians'!D28</f>
        <v>2800</v>
      </c>
      <c r="D46" s="21">
        <f>'Summary Medians'!D29</f>
        <v>2581.5</v>
      </c>
      <c r="E46" s="21">
        <f>'Summary Medians'!D30</f>
        <v>2200</v>
      </c>
      <c r="F46" s="33">
        <f>+'Summary Medians'!$D$31</f>
        <v>2220</v>
      </c>
      <c r="G46" s="22">
        <f>+'Summary Medians'!$D$32</f>
        <v>0</v>
      </c>
      <c r="H46" s="25">
        <f>+'Summary Medians'!$D$33</f>
        <v>0</v>
      </c>
      <c r="I46" s="46">
        <f>+'Summary Medians'!$D$34</f>
        <v>0</v>
      </c>
      <c r="J46" s="20">
        <f>+'Summary Medians'!$D$35</f>
        <v>0</v>
      </c>
      <c r="L46" s="84"/>
      <c r="M46" s="85"/>
      <c r="N46" s="2"/>
      <c r="O46" s="85"/>
      <c r="P46" s="2"/>
      <c r="Q46" s="84"/>
      <c r="R46" s="85"/>
      <c r="S46" s="2"/>
    </row>
    <row r="47" spans="1:19">
      <c r="A47" s="2" t="s">
        <v>211</v>
      </c>
      <c r="B47" s="21">
        <f>'Summary Medians'!D44</f>
        <v>0</v>
      </c>
      <c r="C47" s="21">
        <f>'Summary Medians'!D45</f>
        <v>0</v>
      </c>
      <c r="D47" s="21">
        <f>'Summary Medians'!D46</f>
        <v>2816</v>
      </c>
      <c r="E47" s="21">
        <f>'Summary Medians'!D47</f>
        <v>2816</v>
      </c>
      <c r="F47" s="33">
        <f>+'Summary Medians'!$D$48</f>
        <v>2816</v>
      </c>
      <c r="G47" s="22">
        <f>+'Summary Medians'!$D$49</f>
        <v>0</v>
      </c>
      <c r="H47" s="25">
        <f>+'Summary Medians'!$D$50</f>
        <v>0</v>
      </c>
      <c r="I47" s="46">
        <f>+'Summary Medians'!$D$51</f>
        <v>0</v>
      </c>
      <c r="J47" s="20">
        <f>+'Summary Medians'!$D$52</f>
        <v>0</v>
      </c>
      <c r="L47" s="84"/>
      <c r="M47" s="85"/>
      <c r="N47" s="2"/>
      <c r="O47" s="85"/>
      <c r="P47" s="2"/>
      <c r="Q47" s="84"/>
      <c r="R47" s="85"/>
      <c r="S47" s="2"/>
    </row>
    <row r="48" spans="1:19">
      <c r="A48" s="6" t="s">
        <v>141</v>
      </c>
      <c r="B48" s="19">
        <f>'Summary Medians'!D61</f>
        <v>2585.6999999999998</v>
      </c>
      <c r="C48" s="19">
        <f>'Summary Medians'!D62</f>
        <v>2542.8000000000002</v>
      </c>
      <c r="D48" s="19">
        <f>'Summary Medians'!D63</f>
        <v>2553</v>
      </c>
      <c r="E48" s="19">
        <f>'Summary Medians'!D64</f>
        <v>2541.48</v>
      </c>
      <c r="F48" s="32">
        <f>+'Summary Medians'!$D$65</f>
        <v>2553</v>
      </c>
      <c r="G48" s="20">
        <f>+'Summary Medians'!$D$66</f>
        <v>0</v>
      </c>
      <c r="H48" s="42">
        <f>+'Summary Medians'!$D$67</f>
        <v>0</v>
      </c>
      <c r="I48" s="47">
        <f>+'Summary Medians'!$D$68</f>
        <v>0</v>
      </c>
      <c r="J48" s="20">
        <f>+'Summary Medians'!$D$69</f>
        <v>0</v>
      </c>
      <c r="L48" s="84"/>
      <c r="M48" s="85"/>
      <c r="N48" s="6"/>
      <c r="O48" s="85"/>
      <c r="P48" s="6"/>
      <c r="Q48" s="84"/>
      <c r="R48" s="85"/>
      <c r="S48" s="6"/>
    </row>
    <row r="49" spans="1:19" ht="10.5" customHeight="1">
      <c r="A49" s="6"/>
      <c r="B49" s="19"/>
      <c r="C49" s="19"/>
      <c r="D49" s="19"/>
      <c r="E49" s="19"/>
      <c r="F49" s="32"/>
      <c r="G49" s="20"/>
      <c r="H49" s="42"/>
      <c r="I49" s="47"/>
      <c r="J49" s="20"/>
      <c r="L49" s="84"/>
      <c r="M49" s="85"/>
      <c r="N49" s="6"/>
      <c r="O49" s="85"/>
      <c r="P49" s="6"/>
      <c r="Q49" s="84"/>
      <c r="R49" s="85"/>
      <c r="S49" s="6"/>
    </row>
    <row r="50" spans="1:19">
      <c r="A50" s="6" t="s">
        <v>142</v>
      </c>
      <c r="B50" s="19">
        <f>'Summary Medians'!D78</f>
        <v>2950</v>
      </c>
      <c r="C50" s="19">
        <f>'Summary Medians'!D79</f>
        <v>2978</v>
      </c>
      <c r="D50" s="19">
        <f>'Summary Medians'!D80</f>
        <v>2991</v>
      </c>
      <c r="E50" s="19">
        <f>'Summary Medians'!D81</f>
        <v>2774</v>
      </c>
      <c r="F50" s="32">
        <f>+'Summary Medians'!$D$82</f>
        <v>2954</v>
      </c>
      <c r="G50" s="20">
        <f>+'Summary Medians'!$D$83</f>
        <v>2055</v>
      </c>
      <c r="H50" s="42">
        <f>+'Summary Medians'!$D$84</f>
        <v>2043</v>
      </c>
      <c r="I50" s="47">
        <f>+'Summary Medians'!$D$85</f>
        <v>0</v>
      </c>
      <c r="J50" s="20">
        <f>+'Summary Medians'!$D$86</f>
        <v>2044.5</v>
      </c>
      <c r="L50" s="84"/>
      <c r="M50" s="85"/>
      <c r="N50" s="6"/>
      <c r="O50" s="85"/>
      <c r="P50" s="6"/>
      <c r="Q50" s="84"/>
      <c r="R50" s="85"/>
      <c r="S50" s="6"/>
    </row>
    <row r="51" spans="1:19">
      <c r="A51" s="2" t="s">
        <v>143</v>
      </c>
      <c r="B51" s="21">
        <f>'Summary Medians'!D95</f>
        <v>0</v>
      </c>
      <c r="C51" s="21">
        <f>'Summary Medians'!D96</f>
        <v>3750</v>
      </c>
      <c r="D51" s="21">
        <f>'Summary Medians'!D97</f>
        <v>3750</v>
      </c>
      <c r="E51" s="21">
        <f>'Summary Medians'!D98</f>
        <v>3750</v>
      </c>
      <c r="F51" s="33">
        <f>+'Summary Medians'!$D$99</f>
        <v>3750</v>
      </c>
      <c r="G51" s="22">
        <f>+'Summary Medians'!$D$100</f>
        <v>3750</v>
      </c>
      <c r="H51" s="25">
        <f>+'Summary Medians'!$D$101</f>
        <v>0</v>
      </c>
      <c r="I51" s="46">
        <f>+'Summary Medians'!$D$103</f>
        <v>3750</v>
      </c>
      <c r="J51" s="20">
        <f>+'Summary Medians'!$D$103</f>
        <v>3750</v>
      </c>
      <c r="L51" s="84"/>
      <c r="M51" s="85"/>
      <c r="N51" s="2"/>
      <c r="O51" s="85"/>
      <c r="P51" s="2"/>
      <c r="Q51" s="84"/>
      <c r="R51" s="85"/>
      <c r="S51" s="2"/>
    </row>
    <row r="52" spans="1:19">
      <c r="A52" s="2" t="s">
        <v>144</v>
      </c>
      <c r="B52" s="19">
        <f>'Summary Medians'!D112</f>
        <v>3576</v>
      </c>
      <c r="C52" s="19">
        <f>'Summary Medians'!D113</f>
        <v>2102</v>
      </c>
      <c r="D52" s="19">
        <f>'Summary Medians'!D114</f>
        <v>1968</v>
      </c>
      <c r="E52" s="19">
        <f>'Summary Medians'!D115</f>
        <v>2014</v>
      </c>
      <c r="F52" s="32">
        <f>+'Summary Medians'!$D$116</f>
        <v>2058</v>
      </c>
      <c r="G52" s="20">
        <f>+'Summary Medians'!$D$117</f>
        <v>1594</v>
      </c>
      <c r="H52" s="42">
        <f>+'Summary Medians'!$D$118</f>
        <v>1624</v>
      </c>
      <c r="I52" s="47">
        <f>+'Summary Medians'!$D$119</f>
        <v>974</v>
      </c>
      <c r="J52" s="20">
        <f>+'Summary Medians'!$D$120</f>
        <v>974</v>
      </c>
      <c r="L52" s="84"/>
      <c r="M52" s="85"/>
      <c r="N52" s="2"/>
      <c r="O52" s="85"/>
      <c r="P52" s="2"/>
      <c r="Q52" s="84"/>
      <c r="R52" s="85"/>
      <c r="S52" s="2"/>
    </row>
    <row r="53" spans="1:19">
      <c r="A53" s="6" t="s">
        <v>145</v>
      </c>
      <c r="B53" s="19">
        <f>'Summary Medians'!D129</f>
        <v>0</v>
      </c>
      <c r="C53" s="19">
        <f>'Summary Medians'!D130</f>
        <v>3451.5</v>
      </c>
      <c r="D53" s="19">
        <f>'Summary Medians'!D131</f>
        <v>3220</v>
      </c>
      <c r="E53" s="19">
        <f>'Summary Medians'!D132</f>
        <v>3210</v>
      </c>
      <c r="F53" s="32">
        <f>+'Summary Medians'!$D$133</f>
        <v>3215</v>
      </c>
      <c r="G53" s="20">
        <f>+'Summary Medians'!$D$134</f>
        <v>0</v>
      </c>
      <c r="H53" s="42">
        <f>+'Summary Medians'!$D$135</f>
        <v>0</v>
      </c>
      <c r="I53" s="47">
        <f>+'Summary Medians'!$D$136</f>
        <v>0</v>
      </c>
      <c r="J53" s="20">
        <f>+'Summary Medians'!$D$137</f>
        <v>0</v>
      </c>
      <c r="L53" s="84"/>
      <c r="M53" s="85"/>
      <c r="N53" s="6"/>
      <c r="O53" s="85"/>
      <c r="P53" s="6"/>
      <c r="Q53" s="84"/>
      <c r="R53" s="85"/>
      <c r="S53" s="6"/>
    </row>
    <row r="54" spans="1:19" ht="9.75" customHeight="1">
      <c r="A54" s="6"/>
      <c r="B54" s="19"/>
      <c r="C54" s="19"/>
      <c r="D54" s="19"/>
      <c r="E54" s="19"/>
      <c r="F54" s="32"/>
      <c r="G54" s="20"/>
      <c r="H54" s="42"/>
      <c r="I54" s="47"/>
      <c r="J54" s="20"/>
      <c r="L54" s="84"/>
      <c r="M54" s="85"/>
      <c r="N54" s="6"/>
      <c r="O54" s="85"/>
      <c r="P54" s="6"/>
      <c r="Q54" s="84"/>
      <c r="R54" s="85"/>
      <c r="S54" s="6"/>
    </row>
    <row r="55" spans="1:19">
      <c r="A55" s="2" t="s">
        <v>146</v>
      </c>
      <c r="B55" s="21">
        <f>'Summary Medians'!D146</f>
        <v>0</v>
      </c>
      <c r="C55" s="21">
        <f>'Summary Medians'!D147</f>
        <v>1760</v>
      </c>
      <c r="D55" s="21">
        <f>'Summary Medians'!D148</f>
        <v>1818</v>
      </c>
      <c r="E55" s="21">
        <f>'Summary Medians'!D149</f>
        <v>1850</v>
      </c>
      <c r="F55" s="33">
        <f>+'Summary Medians'!$D$150</f>
        <v>1806</v>
      </c>
      <c r="G55" s="22">
        <f>+'Summary Medians'!$D$151</f>
        <v>0</v>
      </c>
      <c r="H55" s="25">
        <f>+'Summary Medians'!$D$152</f>
        <v>0</v>
      </c>
      <c r="I55" s="46">
        <f>+'Summary Medians'!$D$153</f>
        <v>0</v>
      </c>
      <c r="J55" s="20">
        <f>+'Summary Medians'!$D$154</f>
        <v>0</v>
      </c>
      <c r="L55" s="84"/>
      <c r="M55" s="85"/>
      <c r="N55" s="2"/>
      <c r="O55" s="85"/>
      <c r="P55" s="2"/>
      <c r="Q55" s="84"/>
      <c r="R55" s="85"/>
      <c r="S55" s="2"/>
    </row>
    <row r="56" spans="1:19">
      <c r="A56" s="2" t="s">
        <v>147</v>
      </c>
      <c r="B56" s="21">
        <f>'Summary Medians'!D163</f>
        <v>0</v>
      </c>
      <c r="C56" s="21">
        <f>'Summary Medians'!D164</f>
        <v>1684</v>
      </c>
      <c r="D56" s="21">
        <f>'Summary Medians'!D165</f>
        <v>1690</v>
      </c>
      <c r="E56" s="21">
        <f>'Summary Medians'!D166</f>
        <v>1668</v>
      </c>
      <c r="F56" s="33">
        <f>+'Summary Medians'!$D$167</f>
        <v>1682</v>
      </c>
      <c r="G56" s="22">
        <f>+'Summary Medians'!$D$168</f>
        <v>0</v>
      </c>
      <c r="H56" s="25">
        <f>+'Summary Medians'!$D$169</f>
        <v>0</v>
      </c>
      <c r="I56" s="46">
        <f>+'Summary Medians'!$D$170</f>
        <v>0</v>
      </c>
      <c r="J56" s="19">
        <f>+'Summary Medians'!$D$171</f>
        <v>0</v>
      </c>
      <c r="L56" s="84"/>
      <c r="M56" s="85"/>
      <c r="N56" s="2"/>
      <c r="O56" s="85"/>
      <c r="P56" s="2"/>
      <c r="Q56" s="84"/>
      <c r="R56" s="85"/>
      <c r="S56" s="2"/>
    </row>
    <row r="57" spans="1:19">
      <c r="A57" s="2" t="s">
        <v>148</v>
      </c>
      <c r="B57" s="21">
        <f>'Summary Medians'!D180</f>
        <v>3833</v>
      </c>
      <c r="C57" s="21">
        <f>'Summary Medians'!D181</f>
        <v>2614</v>
      </c>
      <c r="D57" s="21">
        <f>'Summary Medians'!D182</f>
        <v>2534</v>
      </c>
      <c r="E57" s="21">
        <f>'Summary Medians'!D183</f>
        <v>2759.5</v>
      </c>
      <c r="F57" s="33">
        <f>+'Summary Medians'!$D$184</f>
        <v>2696</v>
      </c>
      <c r="G57" s="22">
        <f>+'Summary Medians'!$D$185</f>
        <v>1368</v>
      </c>
      <c r="H57" s="25">
        <f>+'Summary Medians'!$D$186</f>
        <v>1125</v>
      </c>
      <c r="I57" s="46">
        <f>+'Summary Medians'!$D$187</f>
        <v>0</v>
      </c>
      <c r="J57" s="19">
        <f>+'Summary Medians'!$D$188</f>
        <v>1125</v>
      </c>
      <c r="L57" s="84"/>
      <c r="M57" s="85"/>
      <c r="N57" s="2"/>
      <c r="O57" s="85"/>
      <c r="P57" s="2"/>
      <c r="Q57" s="84"/>
      <c r="R57" s="85"/>
      <c r="S57" s="2"/>
    </row>
    <row r="58" spans="1:19">
      <c r="A58" s="2" t="s">
        <v>149</v>
      </c>
      <c r="B58" s="21">
        <f>'Summary Medians'!D197</f>
        <v>7250</v>
      </c>
      <c r="C58" s="21">
        <f>'Summary Medians'!D198</f>
        <v>3492</v>
      </c>
      <c r="D58" s="21">
        <f>'Summary Medians'!D199</f>
        <v>3308</v>
      </c>
      <c r="E58" s="21">
        <f>'Summary Medians'!D200</f>
        <v>4455</v>
      </c>
      <c r="F58" s="33">
        <f>+'Summary Medians'!$D$201</f>
        <v>3382</v>
      </c>
      <c r="G58" s="22">
        <f>+'Summary Medians'!$D$202</f>
        <v>0</v>
      </c>
      <c r="H58" s="25">
        <f>+'Summary Medians'!$D$203</f>
        <v>0</v>
      </c>
      <c r="I58" s="46">
        <f>+'Summary Medians'!$D$204</f>
        <v>0</v>
      </c>
      <c r="J58" s="19">
        <f>+'Summary Medians'!$D$205</f>
        <v>0</v>
      </c>
      <c r="L58" s="84"/>
      <c r="M58" s="85"/>
      <c r="N58" s="2"/>
      <c r="O58" s="85"/>
      <c r="P58" s="2"/>
      <c r="Q58" s="84"/>
      <c r="R58" s="85"/>
      <c r="S58" s="2"/>
    </row>
    <row r="59" spans="1:19" ht="9.75" customHeight="1">
      <c r="A59" s="2"/>
      <c r="B59" s="21"/>
      <c r="C59" s="21"/>
      <c r="D59" s="21"/>
      <c r="E59" s="21"/>
      <c r="F59" s="33"/>
      <c r="G59" s="22"/>
      <c r="H59" s="25"/>
      <c r="I59" s="46"/>
      <c r="J59" s="19"/>
      <c r="L59" s="84"/>
      <c r="M59" s="85"/>
      <c r="N59" s="2"/>
      <c r="O59" s="85"/>
      <c r="P59" s="2"/>
      <c r="Q59" s="84"/>
      <c r="R59" s="85"/>
      <c r="S59" s="2"/>
    </row>
    <row r="60" spans="1:19">
      <c r="A60" s="2" t="s">
        <v>150</v>
      </c>
      <c r="B60" s="21">
        <f>'Summary Medians'!D214</f>
        <v>0</v>
      </c>
      <c r="C60" s="21">
        <f>'Summary Medians'!D215</f>
        <v>2991</v>
      </c>
      <c r="D60" s="21">
        <f>'Summary Medians'!D216</f>
        <v>2961</v>
      </c>
      <c r="E60" s="21">
        <f>'Summary Medians'!D217</f>
        <v>2971</v>
      </c>
      <c r="F60" s="33">
        <f>+'Summary Medians'!$D$218</f>
        <v>2969</v>
      </c>
      <c r="G60" s="22">
        <f>+'Summary Medians'!$D$219</f>
        <v>0</v>
      </c>
      <c r="H60" s="25">
        <f>+'Summary Medians'!$D$220</f>
        <v>2399</v>
      </c>
      <c r="I60" s="46">
        <f>+'Summary Medians'!$D$222</f>
        <v>2399</v>
      </c>
      <c r="J60" s="19">
        <f>+'Summary Medians'!$D$222</f>
        <v>2399</v>
      </c>
      <c r="L60" s="84"/>
      <c r="M60" s="85"/>
      <c r="N60" s="2"/>
      <c r="O60" s="85"/>
      <c r="P60" s="2"/>
      <c r="Q60" s="84"/>
      <c r="R60" s="85"/>
      <c r="S60" s="2"/>
    </row>
    <row r="61" spans="1:19">
      <c r="A61" s="6" t="s">
        <v>151</v>
      </c>
      <c r="B61" s="21">
        <f>'Summary Medians'!D231</f>
        <v>1912</v>
      </c>
      <c r="C61" s="21">
        <f>'Summary Medians'!D232</f>
        <v>1859</v>
      </c>
      <c r="D61" s="21">
        <f>'Summary Medians'!D233</f>
        <v>1806</v>
      </c>
      <c r="E61" s="21">
        <f>'Summary Medians'!D234</f>
        <v>2140</v>
      </c>
      <c r="F61" s="33">
        <f>+'Summary Medians'!$D$235</f>
        <v>1859</v>
      </c>
      <c r="G61" s="22">
        <f>+'Summary Medians'!$D$236</f>
        <v>0</v>
      </c>
      <c r="H61" s="25">
        <f>+'Summary Medians'!$D$237</f>
        <v>0</v>
      </c>
      <c r="I61" s="46">
        <f>+'Summary Medians'!$D$238</f>
        <v>0</v>
      </c>
      <c r="J61" s="19">
        <f>+'Summary Medians'!$D$239</f>
        <v>0</v>
      </c>
      <c r="L61" s="84"/>
      <c r="M61" s="85"/>
      <c r="N61" s="2"/>
      <c r="O61" s="85"/>
      <c r="P61" s="2"/>
      <c r="Q61" s="84"/>
      <c r="R61" s="85"/>
      <c r="S61" s="2"/>
    </row>
    <row r="62" spans="1:19">
      <c r="A62" s="2" t="s">
        <v>217</v>
      </c>
      <c r="B62" s="21">
        <f>'Summary Medians'!D248</f>
        <v>0</v>
      </c>
      <c r="C62" s="21">
        <f>'Summary Medians'!D249</f>
        <v>2868.6</v>
      </c>
      <c r="D62" s="21">
        <f>'Summary Medians'!D250</f>
        <v>2868.6</v>
      </c>
      <c r="E62" s="21">
        <f>'Summary Medians'!D251</f>
        <v>2868.6</v>
      </c>
      <c r="F62" s="33">
        <f>+'Summary Medians'!$D$252</f>
        <v>2868.6</v>
      </c>
      <c r="G62" s="22">
        <f>+'Summary Medians'!$D$253</f>
        <v>0</v>
      </c>
      <c r="H62" s="25">
        <f>+'Summary Medians'!$D$254</f>
        <v>0</v>
      </c>
      <c r="I62" s="46">
        <f>+'Summary Medians'!$D$255</f>
        <v>0</v>
      </c>
      <c r="J62" s="19">
        <f>+'Summary Medians'!$D$256</f>
        <v>0</v>
      </c>
      <c r="L62" s="84"/>
      <c r="M62" s="85"/>
      <c r="N62" s="2"/>
      <c r="O62" s="85"/>
      <c r="P62" s="2"/>
      <c r="Q62" s="84"/>
      <c r="R62" s="85"/>
      <c r="S62" s="2"/>
    </row>
    <row r="63" spans="1:19">
      <c r="A63" s="8" t="s">
        <v>153</v>
      </c>
      <c r="B63" s="23">
        <f>'Summary Medians'!D265</f>
        <v>2481</v>
      </c>
      <c r="C63" s="23">
        <f>'Summary Medians'!D266</f>
        <v>0</v>
      </c>
      <c r="D63" s="23">
        <f>'Summary Medians'!D267</f>
        <v>0</v>
      </c>
      <c r="E63" s="23">
        <f>'Summary Medians'!D268</f>
        <v>2878</v>
      </c>
      <c r="F63" s="34">
        <f>+'Summary Medians'!$D$269</f>
        <v>2878</v>
      </c>
      <c r="G63" s="24">
        <f>+'Summary Medians'!$D$270</f>
        <v>0</v>
      </c>
      <c r="H63" s="23">
        <f>+'Summary Medians'!$D$271</f>
        <v>0</v>
      </c>
      <c r="I63" s="48">
        <f>+'Summary Medians'!$D$272</f>
        <v>0</v>
      </c>
      <c r="J63" s="23">
        <f>+'Summary Medians'!$D$273</f>
        <v>0</v>
      </c>
      <c r="L63" s="84"/>
      <c r="M63" s="85"/>
      <c r="N63" s="5"/>
      <c r="O63" s="85"/>
      <c r="P63" s="5"/>
      <c r="Q63" s="84"/>
      <c r="R63" s="85"/>
      <c r="S63" s="5"/>
    </row>
    <row r="64" spans="1:19" ht="14.25" customHeight="1">
      <c r="A64" s="128" t="s">
        <v>877</v>
      </c>
      <c r="B64" s="1"/>
      <c r="C64" s="1"/>
      <c r="D64" s="1"/>
      <c r="E64" s="1"/>
      <c r="F64" s="1"/>
      <c r="G64" s="1"/>
      <c r="H64" s="1"/>
      <c r="I64" s="1"/>
      <c r="J64" s="105"/>
    </row>
    <row r="65" spans="1:10" ht="61.5" customHeight="1">
      <c r="A65" s="563" t="s">
        <v>344</v>
      </c>
      <c r="B65" s="563"/>
      <c r="C65" s="563"/>
      <c r="D65" s="563"/>
      <c r="E65" s="563"/>
      <c r="F65" s="563"/>
      <c r="G65" s="563"/>
      <c r="H65" s="563"/>
      <c r="I65" s="563"/>
      <c r="J65" s="563"/>
    </row>
    <row r="66" spans="1:10">
      <c r="H66" s="14"/>
      <c r="J66" s="129" t="s">
        <v>1116</v>
      </c>
    </row>
    <row r="67" spans="1:10" ht="18">
      <c r="A67" s="28" t="s">
        <v>1120</v>
      </c>
      <c r="B67" s="28"/>
      <c r="C67" s="28"/>
      <c r="D67" s="28"/>
      <c r="E67" s="28"/>
      <c r="F67" s="28"/>
      <c r="G67" s="28"/>
      <c r="H67" s="96"/>
    </row>
    <row r="68" spans="1:10">
      <c r="A68" s="70"/>
      <c r="B68" s="70"/>
      <c r="C68" s="70"/>
      <c r="D68" s="70"/>
      <c r="E68" s="70"/>
      <c r="F68" s="70"/>
      <c r="G68" s="70"/>
      <c r="H68" s="97"/>
    </row>
    <row r="69" spans="1:10" ht="15.75">
      <c r="A69" s="29" t="s">
        <v>136</v>
      </c>
      <c r="B69" s="29"/>
      <c r="C69" s="29"/>
      <c r="D69" s="29"/>
      <c r="E69" s="29"/>
      <c r="F69" s="29"/>
      <c r="G69" s="29"/>
      <c r="H69" s="98"/>
    </row>
    <row r="70" spans="1:10" ht="15.75">
      <c r="A70" s="29" t="s">
        <v>154</v>
      </c>
      <c r="B70" s="29"/>
      <c r="C70" s="29"/>
      <c r="D70" s="29"/>
      <c r="E70" s="29"/>
      <c r="F70" s="29"/>
      <c r="G70" s="29"/>
      <c r="H70" s="98"/>
    </row>
    <row r="71" spans="1:10" ht="15.75">
      <c r="A71" s="29" t="s">
        <v>1041</v>
      </c>
      <c r="B71" s="29"/>
      <c r="C71" s="29"/>
      <c r="D71" s="29"/>
      <c r="E71" s="29"/>
      <c r="F71" s="29"/>
      <c r="G71" s="29"/>
      <c r="H71" s="98"/>
    </row>
    <row r="72" spans="1:10">
      <c r="A72" s="49"/>
      <c r="B72" s="49"/>
      <c r="C72" s="49"/>
      <c r="D72" s="49"/>
      <c r="E72" s="49"/>
      <c r="F72" s="49"/>
      <c r="G72" s="49"/>
      <c r="H72" s="106"/>
    </row>
    <row r="73" spans="1:10">
      <c r="A73" s="3"/>
      <c r="B73" s="4" t="s">
        <v>138</v>
      </c>
      <c r="C73" s="4"/>
      <c r="D73" s="4"/>
      <c r="E73" s="4"/>
      <c r="F73" s="4"/>
      <c r="G73" s="4"/>
      <c r="H73" s="99"/>
    </row>
    <row r="74" spans="1:10">
      <c r="A74" s="80"/>
      <c r="B74" s="79">
        <v>1</v>
      </c>
      <c r="C74" s="79">
        <v>2</v>
      </c>
      <c r="D74" s="79">
        <v>3</v>
      </c>
      <c r="E74" s="79">
        <v>4</v>
      </c>
      <c r="F74" s="79">
        <v>5</v>
      </c>
      <c r="G74" s="79">
        <v>6</v>
      </c>
      <c r="H74" s="107" t="s">
        <v>631</v>
      </c>
    </row>
    <row r="75" spans="1:10" ht="15.75">
      <c r="A75"/>
      <c r="B75"/>
      <c r="C75"/>
      <c r="D75"/>
      <c r="E75"/>
      <c r="F75"/>
      <c r="G75" s="58"/>
      <c r="H75" s="50"/>
    </row>
    <row r="76" spans="1:10">
      <c r="A76" s="6" t="s">
        <v>316</v>
      </c>
      <c r="B76" s="66">
        <f>+'Summary Medians'!$G$275</f>
        <v>19339</v>
      </c>
      <c r="C76" s="66">
        <f>+'Summary Medians'!$G$276</f>
        <v>15333.5</v>
      </c>
      <c r="D76" s="66">
        <f>+'Summary Medians'!$G$277</f>
        <v>14838</v>
      </c>
      <c r="E76" s="66">
        <f>+'Summary Medians'!$G$278</f>
        <v>13736</v>
      </c>
      <c r="F76" s="66">
        <f>+'Summary Medians'!$G$279</f>
        <v>13550</v>
      </c>
      <c r="G76" s="66">
        <f>+'Summary Medians'!$G$280</f>
        <v>12015.5</v>
      </c>
      <c r="H76" s="108">
        <f>+'Summary Medians'!$G$281</f>
        <v>15103</v>
      </c>
    </row>
    <row r="77" spans="1:10">
      <c r="A77" s="2"/>
      <c r="B77" s="39"/>
      <c r="C77" s="39"/>
      <c r="D77" s="39"/>
      <c r="E77" s="39"/>
      <c r="F77" s="39"/>
      <c r="G77" s="40"/>
      <c r="H77" s="101"/>
    </row>
    <row r="78" spans="1:10">
      <c r="A78" s="2" t="s">
        <v>139</v>
      </c>
      <c r="B78" s="21">
        <f>+'Summary Medians'!$G$3</f>
        <v>19200</v>
      </c>
      <c r="C78" s="21">
        <f>+'Summary Medians'!$G$4</f>
        <v>15628</v>
      </c>
      <c r="D78" s="21">
        <f>+'Summary Medians'!$G$5</f>
        <v>11611</v>
      </c>
      <c r="E78" s="21">
        <f>+'Summary Medians'!$G$6</f>
        <v>12084</v>
      </c>
      <c r="F78" s="21">
        <f>+'Summary Medians'!$G$7</f>
        <v>12195</v>
      </c>
      <c r="G78" s="21">
        <f>+'Summary Medians'!$G$8</f>
        <v>7950</v>
      </c>
      <c r="H78" s="109">
        <f>+'Summary Medians'!$G$9</f>
        <v>12282</v>
      </c>
    </row>
    <row r="79" spans="1:10">
      <c r="A79" s="2" t="s">
        <v>140</v>
      </c>
      <c r="B79" s="21">
        <f>+'Summary Medians'!$G$20</f>
        <v>15336</v>
      </c>
      <c r="C79" s="21">
        <f>+'Summary Medians'!$G$21</f>
        <v>0</v>
      </c>
      <c r="D79" s="21">
        <f>+'Summary Medians'!$G$22</f>
        <v>14290</v>
      </c>
      <c r="E79" s="21">
        <f>+'Summary Medians'!$G$23</f>
        <v>10962</v>
      </c>
      <c r="F79" s="21">
        <f>+'Summary Medians'!$G$24</f>
        <v>8858</v>
      </c>
      <c r="G79" s="21">
        <f>+'Summary Medians'!$G$25</f>
        <v>9738</v>
      </c>
      <c r="H79" s="109">
        <f>+'Summary Medians'!$G$26</f>
        <v>10962</v>
      </c>
    </row>
    <row r="80" spans="1:10">
      <c r="A80" s="2" t="s">
        <v>211</v>
      </c>
      <c r="B80" s="21">
        <f>+'Summary Medians'!$G$37</f>
        <v>23186</v>
      </c>
      <c r="C80" s="21">
        <f>+'Summary Medians'!$G$38</f>
        <v>0</v>
      </c>
      <c r="D80" s="21">
        <f>+'Summary Medians'!$G$39</f>
        <v>0</v>
      </c>
      <c r="E80" s="21">
        <f>+'Summary Medians'!$G$40</f>
        <v>13742</v>
      </c>
      <c r="F80" s="21">
        <f>+'Summary Medians'!$G$41</f>
        <v>0</v>
      </c>
      <c r="G80" s="21">
        <f>+'Summary Medians'!$G$42</f>
        <v>0</v>
      </c>
      <c r="H80" s="109">
        <f>+'Summary Medians'!$G$43</f>
        <v>18464</v>
      </c>
    </row>
    <row r="81" spans="1:8">
      <c r="A81" s="6" t="s">
        <v>141</v>
      </c>
      <c r="B81" s="21">
        <f>+'Summary Medians'!$G$54</f>
        <v>19010.5</v>
      </c>
      <c r="C81" s="21">
        <f>+'Summary Medians'!$G$55</f>
        <v>17829.3</v>
      </c>
      <c r="D81" s="21">
        <f>+'Summary Medians'!$G$56</f>
        <v>17091.900000000001</v>
      </c>
      <c r="E81" s="21">
        <f>+'Summary Medians'!$G$57</f>
        <v>19686</v>
      </c>
      <c r="F81" s="21">
        <f>+'Summary Medians'!$G$58</f>
        <v>0</v>
      </c>
      <c r="G81" s="21">
        <f>+'Summary Medians'!$G$59</f>
        <v>21988.2</v>
      </c>
      <c r="H81" s="109">
        <f>+'Summary Medians'!$G$60</f>
        <v>17829.3</v>
      </c>
    </row>
    <row r="82" spans="1:8">
      <c r="A82" s="2"/>
      <c r="B82" s="21"/>
      <c r="C82" s="21"/>
      <c r="D82" s="21"/>
      <c r="E82" s="21"/>
      <c r="F82" s="21"/>
      <c r="G82" s="21"/>
      <c r="H82" s="109"/>
    </row>
    <row r="83" spans="1:8">
      <c r="A83" s="6" t="s">
        <v>142</v>
      </c>
      <c r="B83" s="21">
        <f>+'Summary Medians'!$G$71</f>
        <v>25824</v>
      </c>
      <c r="C83" s="21">
        <f>+'Summary Medians'!$G$72</f>
        <v>25816</v>
      </c>
      <c r="D83" s="21">
        <f>+'Summary Medians'!$G$73</f>
        <v>17516</v>
      </c>
      <c r="E83" s="21">
        <f>+'Summary Medians'!$G$74</f>
        <v>16713</v>
      </c>
      <c r="F83" s="21">
        <f>+'Summary Medians'!$G$75</f>
        <v>16471</v>
      </c>
      <c r="G83" s="21">
        <f>+'Summary Medians'!$G$76</f>
        <v>13430.5</v>
      </c>
      <c r="H83" s="109">
        <f>+'Summary Medians'!$G$77</f>
        <v>16707</v>
      </c>
    </row>
    <row r="84" spans="1:8">
      <c r="A84" s="2" t="s">
        <v>143</v>
      </c>
      <c r="B84" s="19">
        <f>+'Summary Medians'!$G$88</f>
        <v>18031</v>
      </c>
      <c r="C84" s="21">
        <f>+'Summary Medians'!$G$89</f>
        <v>0</v>
      </c>
      <c r="D84" s="21">
        <f>+'Summary Medians'!$G$90</f>
        <v>17280</v>
      </c>
      <c r="E84" s="21">
        <f>+'Summary Medians'!$G$91</f>
        <v>13943</v>
      </c>
      <c r="F84" s="21">
        <f>+'Summary Medians'!$G$92</f>
        <v>14208</v>
      </c>
      <c r="G84" s="21">
        <f>+'Summary Medians'!$G$93</f>
        <v>0</v>
      </c>
      <c r="H84" s="109">
        <f>+'Summary Medians'!$G$94</f>
        <v>16513</v>
      </c>
    </row>
    <row r="85" spans="1:8">
      <c r="A85" s="2" t="s">
        <v>144</v>
      </c>
      <c r="B85" s="21">
        <f>+'Summary Medians'!$G$105</f>
        <v>14383.4</v>
      </c>
      <c r="C85" s="21">
        <f>+'Summary Medians'!$G$106</f>
        <v>12528</v>
      </c>
      <c r="D85" s="21">
        <f>+'Summary Medians'!$G$107</f>
        <v>10773.46</v>
      </c>
      <c r="E85" s="21">
        <f>+'Summary Medians'!$G$108</f>
        <v>10080.25</v>
      </c>
      <c r="F85" s="21">
        <f>+'Summary Medians'!$G$109</f>
        <v>0</v>
      </c>
      <c r="G85" s="21">
        <f>+'Summary Medians'!$G$110</f>
        <v>0</v>
      </c>
      <c r="H85" s="109">
        <f>+'Summary Medians'!$G$111</f>
        <v>10668.6</v>
      </c>
    </row>
    <row r="86" spans="1:8">
      <c r="A86" s="6" t="s">
        <v>145</v>
      </c>
      <c r="B86" s="21">
        <f>+'Summary Medians'!$G$122</f>
        <v>23990</v>
      </c>
      <c r="C86" s="21">
        <f>+'Summary Medians'!$G$123</f>
        <v>18213</v>
      </c>
      <c r="D86" s="21">
        <f>+'Summary Medians'!$G$124</f>
        <v>16825</v>
      </c>
      <c r="E86" s="21">
        <f>+'Summary Medians'!$G$125</f>
        <v>15796.5</v>
      </c>
      <c r="F86" s="21">
        <f>+'Summary Medians'!$G$126</f>
        <v>0</v>
      </c>
      <c r="G86" s="21">
        <f>+'Summary Medians'!$G$127</f>
        <v>24627</v>
      </c>
      <c r="H86" s="109">
        <f>+'Summary Medians'!$G$128</f>
        <v>16880</v>
      </c>
    </row>
    <row r="87" spans="1:8">
      <c r="A87" s="6"/>
      <c r="B87" s="21"/>
      <c r="C87" s="21"/>
      <c r="D87" s="21"/>
      <c r="E87" s="21"/>
      <c r="F87" s="21"/>
      <c r="G87" s="21"/>
      <c r="H87" s="109"/>
    </row>
    <row r="88" spans="1:8">
      <c r="A88" s="2" t="s">
        <v>146</v>
      </c>
      <c r="B88" s="21">
        <f>+'Summary Medians'!$G$139</f>
        <v>13034.98</v>
      </c>
      <c r="C88" s="21">
        <f>+'Summary Medians'!$G$140</f>
        <v>12202.32</v>
      </c>
      <c r="D88" s="21">
        <f>+'Summary Medians'!$G$141</f>
        <v>0</v>
      </c>
      <c r="E88" s="21">
        <f>+'Summary Medians'!$G$142</f>
        <v>11410.345000000001</v>
      </c>
      <c r="F88" s="21">
        <f>+'Summary Medians'!$G$143</f>
        <v>12051.25</v>
      </c>
      <c r="G88" s="21">
        <f>+'Summary Medians'!$G$144</f>
        <v>0</v>
      </c>
      <c r="H88" s="109">
        <f>+'Summary Medians'!$G$145</f>
        <v>11784.95</v>
      </c>
    </row>
    <row r="89" spans="1:8">
      <c r="A89" s="2" t="s">
        <v>147</v>
      </c>
      <c r="B89" s="21">
        <f>+'Summary Medians'!$G$156</f>
        <v>20736.5</v>
      </c>
      <c r="C89" s="21">
        <f>+'Summary Medians'!$G$157</f>
        <v>15517</v>
      </c>
      <c r="D89" s="21">
        <f>+'Summary Medians'!$G$158</f>
        <v>14551.5</v>
      </c>
      <c r="E89" s="21">
        <f>+'Summary Medians'!$G$159</f>
        <v>13520</v>
      </c>
      <c r="F89" s="21">
        <f>+'Summary Medians'!$G$160</f>
        <v>12725.5</v>
      </c>
      <c r="G89" s="21">
        <f>+'Summary Medians'!$G$161</f>
        <v>14064</v>
      </c>
      <c r="H89" s="109">
        <f>+'Summary Medians'!$G$162</f>
        <v>15039</v>
      </c>
    </row>
    <row r="90" spans="1:8">
      <c r="A90" s="2" t="s">
        <v>148</v>
      </c>
      <c r="B90" s="21">
        <f>+'Summary Medians'!$G$173</f>
        <v>16515</v>
      </c>
      <c r="C90" s="21">
        <f>+'Summary Medians'!$G$174</f>
        <v>0</v>
      </c>
      <c r="D90" s="21">
        <f>+'Summary Medians'!$G$175</f>
        <v>10448.5</v>
      </c>
      <c r="E90" s="21">
        <f>+'Summary Medians'!$G$176</f>
        <v>0</v>
      </c>
      <c r="F90" s="21">
        <f>+'Summary Medians'!$G$177</f>
        <v>10057.5</v>
      </c>
      <c r="G90" s="21">
        <f>+'Summary Medians'!$G$178</f>
        <v>9734</v>
      </c>
      <c r="H90" s="109">
        <f>+'Summary Medians'!$G$179</f>
        <v>10236</v>
      </c>
    </row>
    <row r="91" spans="1:8">
      <c r="A91" s="2" t="s">
        <v>149</v>
      </c>
      <c r="B91" s="21">
        <f>+'Summary Medians'!$G$190</f>
        <v>24560</v>
      </c>
      <c r="C91" s="21">
        <f>+'Summary Medians'!$G$191</f>
        <v>0</v>
      </c>
      <c r="D91" s="21">
        <f>+'Summary Medians'!$G$192</f>
        <v>21721</v>
      </c>
      <c r="E91" s="21">
        <f>+'Summary Medians'!$G$193</f>
        <v>22545</v>
      </c>
      <c r="F91" s="21">
        <f>+'Summary Medians'!$G$194</f>
        <v>16626</v>
      </c>
      <c r="G91" s="21">
        <f>+'Summary Medians'!$G$195</f>
        <v>16560</v>
      </c>
      <c r="H91" s="109">
        <f>+'Summary Medians'!$G$196</f>
        <v>18770</v>
      </c>
    </row>
    <row r="92" spans="1:8" ht="15.75">
      <c r="A92" s="2"/>
      <c r="B92"/>
      <c r="C92"/>
      <c r="D92"/>
      <c r="E92"/>
      <c r="F92"/>
      <c r="G92"/>
      <c r="H92" s="110"/>
    </row>
    <row r="93" spans="1:8">
      <c r="A93" s="2" t="s">
        <v>150</v>
      </c>
      <c r="B93" s="21">
        <f>+'Summary Medians'!$G$207</f>
        <v>20176</v>
      </c>
      <c r="C93" s="21">
        <f>+'Summary Medians'!$G$208</f>
        <v>0</v>
      </c>
      <c r="D93" s="21">
        <f>+'Summary Medians'!$G$209</f>
        <v>17664</v>
      </c>
      <c r="E93" s="21">
        <f>+'Summary Medians'!$G$210</f>
        <v>17946</v>
      </c>
      <c r="F93" s="21">
        <f>+'Summary Medians'!$G$211</f>
        <v>17155</v>
      </c>
      <c r="G93" s="21">
        <f>+'Summary Medians'!$G$212</f>
        <v>0</v>
      </c>
      <c r="H93" s="109">
        <f>+'Summary Medians'!$G$213</f>
        <v>17671</v>
      </c>
    </row>
    <row r="94" spans="1:8">
      <c r="A94" s="6" t="s">
        <v>151</v>
      </c>
      <c r="B94" s="21">
        <f>+'Summary Medians'!$G$224</f>
        <v>16598</v>
      </c>
      <c r="C94" s="21">
        <f>+'Summary Medians'!$G$225</f>
        <v>14970</v>
      </c>
      <c r="D94" s="21">
        <f>+'Summary Medians'!$G$226</f>
        <v>14508</v>
      </c>
      <c r="E94" s="21">
        <f>+'Summary Medians'!$G$227</f>
        <v>13720</v>
      </c>
      <c r="F94" s="21">
        <f>+'Summary Medians'!$G$228</f>
        <v>13581</v>
      </c>
      <c r="G94" s="21">
        <f>+'Summary Medians'!$G$229</f>
        <v>15493</v>
      </c>
      <c r="H94" s="109">
        <f>+'Summary Medians'!$G$230</f>
        <v>14711</v>
      </c>
    </row>
    <row r="95" spans="1:8">
      <c r="A95" s="2" t="s">
        <v>152</v>
      </c>
      <c r="B95" s="21">
        <f>+'Summary Medians'!$G$241</f>
        <v>23120</v>
      </c>
      <c r="C95" s="21">
        <f>+'Summary Medians'!$G$242</f>
        <v>20749</v>
      </c>
      <c r="D95" s="21">
        <f>+'Summary Medians'!$G$243</f>
        <v>17972</v>
      </c>
      <c r="E95" s="21">
        <f>+'Summary Medians'!$G$244</f>
        <v>15992</v>
      </c>
      <c r="F95" s="21">
        <f>+'Summary Medians'!$G$245</f>
        <v>18532.5</v>
      </c>
      <c r="G95" s="21">
        <f>+'Summary Medians'!$G$246</f>
        <v>19276</v>
      </c>
      <c r="H95" s="109">
        <f>+'Summary Medians'!$G$247</f>
        <v>19326</v>
      </c>
    </row>
    <row r="96" spans="1:8">
      <c r="A96" s="8" t="s">
        <v>153</v>
      </c>
      <c r="B96" s="26">
        <f>+'Summary Medians'!$G$258</f>
        <v>16402</v>
      </c>
      <c r="C96" s="26">
        <f>+'Summary Medians'!$G$259</f>
        <v>0</v>
      </c>
      <c r="D96" s="26">
        <f>+'Summary Medians'!$G$260</f>
        <v>12482</v>
      </c>
      <c r="E96" s="26">
        <f>+'Summary Medians'!$G$261</f>
        <v>0</v>
      </c>
      <c r="F96" s="26">
        <f>+'Summary Medians'!$G$262</f>
        <v>10684</v>
      </c>
      <c r="G96" s="26">
        <f>+'Summary Medians'!$G$263</f>
        <v>11702</v>
      </c>
      <c r="H96" s="111">
        <f>+'Summary Medians'!$G$264</f>
        <v>11826</v>
      </c>
    </row>
    <row r="97" spans="1:10" ht="40.5" customHeight="1">
      <c r="A97" s="563" t="s">
        <v>156</v>
      </c>
      <c r="B97" s="563"/>
      <c r="C97" s="563"/>
      <c r="D97" s="563"/>
      <c r="E97" s="563"/>
      <c r="F97" s="563"/>
      <c r="G97" s="563"/>
      <c r="H97" s="563"/>
    </row>
    <row r="98" spans="1:10" ht="15.75">
      <c r="A98"/>
      <c r="B98"/>
      <c r="C98"/>
      <c r="D98"/>
      <c r="E98"/>
      <c r="F98"/>
      <c r="G98"/>
      <c r="H98" s="129" t="s">
        <v>1116</v>
      </c>
    </row>
    <row r="99" spans="1:10" ht="18">
      <c r="A99" s="564" t="s">
        <v>1121</v>
      </c>
      <c r="B99" s="564"/>
      <c r="C99" s="564"/>
      <c r="D99" s="564"/>
      <c r="E99" s="564"/>
      <c r="F99" s="564"/>
      <c r="G99" s="564"/>
      <c r="H99" s="564"/>
      <c r="I99" s="564"/>
      <c r="J99" s="564"/>
    </row>
    <row r="100" spans="1:10" ht="9" customHeight="1">
      <c r="A100" s="72"/>
      <c r="B100" s="72"/>
      <c r="C100" s="72"/>
      <c r="D100" s="72"/>
      <c r="E100" s="72"/>
      <c r="F100" s="72"/>
      <c r="G100" s="72"/>
      <c r="H100" s="72"/>
      <c r="I100" s="72"/>
      <c r="J100" s="103"/>
    </row>
    <row r="101" spans="1:10" ht="15.75">
      <c r="A101" s="565" t="s">
        <v>136</v>
      </c>
      <c r="B101" s="565"/>
      <c r="C101" s="565"/>
      <c r="D101" s="565"/>
      <c r="E101" s="565"/>
      <c r="F101" s="565"/>
      <c r="G101" s="565"/>
      <c r="H101" s="565"/>
      <c r="I101" s="565"/>
      <c r="J101" s="565"/>
    </row>
    <row r="102" spans="1:10" ht="15.75">
      <c r="A102" s="565" t="s">
        <v>154</v>
      </c>
      <c r="B102" s="565"/>
      <c r="C102" s="565"/>
      <c r="D102" s="565"/>
      <c r="E102" s="565"/>
      <c r="F102" s="565"/>
      <c r="G102" s="565"/>
      <c r="H102" s="565"/>
      <c r="I102" s="565"/>
      <c r="J102" s="565"/>
    </row>
    <row r="103" spans="1:10" ht="15.75">
      <c r="A103" s="565" t="s">
        <v>1042</v>
      </c>
      <c r="B103" s="565"/>
      <c r="C103" s="565"/>
      <c r="D103" s="565"/>
      <c r="E103" s="565"/>
      <c r="F103" s="565"/>
      <c r="G103" s="565"/>
      <c r="H103" s="565"/>
      <c r="I103" s="565"/>
      <c r="J103" s="565"/>
    </row>
    <row r="104" spans="1:10" ht="12" customHeight="1">
      <c r="A104" s="2"/>
      <c r="B104" s="2"/>
      <c r="C104" s="2"/>
      <c r="D104" s="2"/>
      <c r="E104" s="2"/>
      <c r="F104" s="2"/>
      <c r="G104" s="2"/>
      <c r="H104" s="2"/>
      <c r="I104" s="2"/>
      <c r="J104" s="13"/>
    </row>
    <row r="105" spans="1:10">
      <c r="A105" s="3"/>
      <c r="B105" s="11" t="s">
        <v>548</v>
      </c>
      <c r="C105" s="11"/>
      <c r="D105" s="11"/>
      <c r="E105" s="11"/>
      <c r="F105" s="74"/>
      <c r="G105" s="75" t="s">
        <v>228</v>
      </c>
      <c r="H105" s="11"/>
      <c r="I105" s="11"/>
      <c r="J105" s="112"/>
    </row>
    <row r="106" spans="1:10" ht="36">
      <c r="A106" s="80"/>
      <c r="B106" s="65" t="s">
        <v>303</v>
      </c>
      <c r="C106" s="79">
        <v>1</v>
      </c>
      <c r="D106" s="79">
        <v>2</v>
      </c>
      <c r="E106" s="79">
        <v>3</v>
      </c>
      <c r="F106" s="81" t="s">
        <v>631</v>
      </c>
      <c r="G106" s="79">
        <v>1</v>
      </c>
      <c r="H106" s="79">
        <v>2</v>
      </c>
      <c r="I106" s="45" t="s">
        <v>549</v>
      </c>
      <c r="J106" s="100" t="s">
        <v>631</v>
      </c>
    </row>
    <row r="107" spans="1:10" ht="9" customHeight="1">
      <c r="A107" s="5"/>
      <c r="B107" s="9"/>
      <c r="C107" s="9"/>
      <c r="D107" s="9"/>
      <c r="E107" s="52"/>
      <c r="F107" s="53"/>
      <c r="G107" s="59"/>
      <c r="H107" s="60"/>
      <c r="I107" s="60"/>
      <c r="J107" s="61"/>
    </row>
    <row r="108" spans="1:10">
      <c r="A108" s="6" t="s">
        <v>316</v>
      </c>
      <c r="B108" s="17">
        <f>'Summary Medians'!$G282</f>
        <v>8944.5</v>
      </c>
      <c r="C108" s="17">
        <f>'Summary Medians'!$G283</f>
        <v>7802.6</v>
      </c>
      <c r="D108" s="17">
        <f>'Summary Medians'!$G284</f>
        <v>7781.6</v>
      </c>
      <c r="E108" s="17">
        <f>'Summary Medians'!$G285</f>
        <v>6660</v>
      </c>
      <c r="F108" s="35">
        <f>+'Summary Medians'!$G$286</f>
        <v>7750.1</v>
      </c>
      <c r="G108" s="18">
        <f>+'Summary Medians'!$G$287</f>
        <v>3856.5</v>
      </c>
      <c r="H108" s="41">
        <f>+'Summary Medians'!$G$288</f>
        <v>2250</v>
      </c>
      <c r="I108" s="54">
        <f>+'Summary Medians'!$G$289</f>
        <v>1604</v>
      </c>
      <c r="J108" s="18">
        <f>+'Summary Medians'!$G$290</f>
        <v>2250</v>
      </c>
    </row>
    <row r="109" spans="1:10" ht="8.25" customHeight="1">
      <c r="A109" s="6"/>
      <c r="B109" s="39"/>
      <c r="C109" s="39"/>
      <c r="D109" s="39"/>
      <c r="E109" s="39"/>
      <c r="F109" s="35"/>
      <c r="G109" s="20"/>
      <c r="H109" s="42"/>
      <c r="I109" s="47"/>
      <c r="J109" s="20"/>
    </row>
    <row r="110" spans="1:10">
      <c r="A110" s="2" t="s">
        <v>139</v>
      </c>
      <c r="B110" s="21">
        <f>'Summary Medians'!$G10</f>
        <v>0</v>
      </c>
      <c r="C110" s="21">
        <f>'Summary Medians'!$G11</f>
        <v>5085</v>
      </c>
      <c r="D110" s="21">
        <f>'Summary Medians'!$G12</f>
        <v>4830</v>
      </c>
      <c r="E110" s="21">
        <f>'Summary Medians'!$G13</f>
        <v>4830</v>
      </c>
      <c r="F110" s="35">
        <f>+'Summary Medians'!$G$14</f>
        <v>4830</v>
      </c>
      <c r="G110" s="22">
        <f>+'Summary Medians'!$G$15</f>
        <v>4830</v>
      </c>
      <c r="H110" s="25">
        <f>+'Summary Medians'!$G$16</f>
        <v>4875</v>
      </c>
      <c r="I110" s="46">
        <f>+'Summary Medians'!$G$17</f>
        <v>0</v>
      </c>
      <c r="J110" s="20">
        <f>+'Summary Medians'!$G$18</f>
        <v>4830</v>
      </c>
    </row>
    <row r="111" spans="1:10">
      <c r="A111" s="2" t="s">
        <v>140</v>
      </c>
      <c r="B111" s="21">
        <f>'Summary Medians'!$G27</f>
        <v>0</v>
      </c>
      <c r="C111" s="21">
        <f>'Summary Medians'!$G28</f>
        <v>4330</v>
      </c>
      <c r="D111" s="21">
        <f>'Summary Medians'!$G29</f>
        <v>4606.5</v>
      </c>
      <c r="E111" s="21">
        <f>'Summary Medians'!$G30</f>
        <v>4360</v>
      </c>
      <c r="F111" s="35">
        <f>+'Summary Medians'!$G$31</f>
        <v>4355</v>
      </c>
      <c r="G111" s="22">
        <f>+'Summary Medians'!$G$32</f>
        <v>0</v>
      </c>
      <c r="H111" s="25">
        <f>+'Summary Medians'!$G$33</f>
        <v>0</v>
      </c>
      <c r="I111" s="46">
        <f>+'Summary Medians'!$G$34</f>
        <v>0</v>
      </c>
      <c r="J111" s="20">
        <f>+'Summary Medians'!$G$35</f>
        <v>0</v>
      </c>
    </row>
    <row r="112" spans="1:10">
      <c r="A112" s="2" t="s">
        <v>211</v>
      </c>
      <c r="B112" s="21">
        <f>'Summary Medians'!$G44</f>
        <v>0</v>
      </c>
      <c r="C112" s="21">
        <f>'Summary Medians'!$G45</f>
        <v>0</v>
      </c>
      <c r="D112" s="21">
        <f>'Summary Medians'!$G46</f>
        <v>0</v>
      </c>
      <c r="E112" s="21">
        <f>'Summary Medians'!$G47</f>
        <v>0</v>
      </c>
      <c r="F112" s="35">
        <f>+'Summary Medians'!$G$48</f>
        <v>0</v>
      </c>
      <c r="G112" s="22">
        <f>+'Summary Medians'!$G$49</f>
        <v>0</v>
      </c>
      <c r="H112" s="25">
        <f>+'Summary Medians'!$G$50</f>
        <v>0</v>
      </c>
      <c r="I112" s="46">
        <f>+'Summary Medians'!$G$51</f>
        <v>0</v>
      </c>
      <c r="J112" s="20">
        <f>+'Summary Medians'!$G$52</f>
        <v>0</v>
      </c>
    </row>
    <row r="113" spans="1:10">
      <c r="A113" s="7" t="s">
        <v>141</v>
      </c>
      <c r="B113" s="19">
        <f>'Summary Medians'!$G61</f>
        <v>9377.4</v>
      </c>
      <c r="C113" s="19">
        <f>'Summary Medians'!$G62</f>
        <v>9550.5</v>
      </c>
      <c r="D113" s="19">
        <f>'Summary Medians'!$G63</f>
        <v>9606</v>
      </c>
      <c r="E113" s="19">
        <f>'Summary Medians'!$G64</f>
        <v>9320.4</v>
      </c>
      <c r="F113" s="35">
        <f>+'Summary Medians'!$G$65</f>
        <v>9530.25</v>
      </c>
      <c r="G113" s="20">
        <f>+'Summary Medians'!$G$66</f>
        <v>0</v>
      </c>
      <c r="H113" s="42">
        <f>+'Summary Medians'!$G$67</f>
        <v>0</v>
      </c>
      <c r="I113" s="47">
        <f>+'Summary Medians'!$G$68</f>
        <v>0</v>
      </c>
      <c r="J113" s="20">
        <f>+'Summary Medians'!$G$69</f>
        <v>0</v>
      </c>
    </row>
    <row r="114" spans="1:10" ht="9" customHeight="1">
      <c r="A114" s="7"/>
      <c r="B114" s="21"/>
      <c r="C114" s="21"/>
      <c r="D114" s="21"/>
      <c r="E114" s="21"/>
      <c r="F114" s="35"/>
      <c r="G114" s="20"/>
      <c r="H114" s="42"/>
      <c r="I114" s="47"/>
      <c r="J114" s="20"/>
    </row>
    <row r="115" spans="1:10">
      <c r="A115" s="6" t="s">
        <v>142</v>
      </c>
      <c r="B115" s="19">
        <f>'Summary Medians'!$G78</f>
        <v>10432</v>
      </c>
      <c r="C115" s="19">
        <f>'Summary Medians'!$G79</f>
        <v>9856</v>
      </c>
      <c r="D115" s="19">
        <f>'Summary Medians'!$G80</f>
        <v>10416</v>
      </c>
      <c r="E115" s="19">
        <f>'Summary Medians'!$G81</f>
        <v>9652</v>
      </c>
      <c r="F115" s="35">
        <f>+'Summary Medians'!$G$82</f>
        <v>9893</v>
      </c>
      <c r="G115" s="20">
        <f>+'Summary Medians'!$G$83</f>
        <v>3855</v>
      </c>
      <c r="H115" s="42">
        <f>+'Summary Medians'!$G$84</f>
        <v>3843</v>
      </c>
      <c r="I115" s="47">
        <f>+'Summary Medians'!$G$85</f>
        <v>0</v>
      </c>
      <c r="J115" s="20">
        <f>+'Summary Medians'!$G$86</f>
        <v>3844.5</v>
      </c>
    </row>
    <row r="116" spans="1:10">
      <c r="A116" s="2" t="s">
        <v>143</v>
      </c>
      <c r="B116" s="21">
        <f>'Summary Medians'!$G95</f>
        <v>0</v>
      </c>
      <c r="C116" s="21">
        <f>'Summary Medians'!$G96</f>
        <v>12750</v>
      </c>
      <c r="D116" s="21">
        <f>'Summary Medians'!$G97</f>
        <v>12750</v>
      </c>
      <c r="E116" s="21">
        <f>'Summary Medians'!$G98</f>
        <v>12750</v>
      </c>
      <c r="F116" s="35">
        <f>+'Summary Medians'!$G$99</f>
        <v>12750</v>
      </c>
      <c r="G116" s="22">
        <f>+'Summary Medians'!$G$100</f>
        <v>12750</v>
      </c>
      <c r="H116" s="25">
        <f>+'Summary Medians'!$G$101</f>
        <v>0</v>
      </c>
      <c r="I116" s="46">
        <f>+'Summary Medians'!$G$103</f>
        <v>12750</v>
      </c>
      <c r="J116" s="20">
        <f>+'Summary Medians'!$G$103</f>
        <v>12750</v>
      </c>
    </row>
    <row r="117" spans="1:10">
      <c r="A117" s="2" t="s">
        <v>144</v>
      </c>
      <c r="B117" s="19">
        <f>'Summary Medians'!$G112</f>
        <v>6284</v>
      </c>
      <c r="C117" s="19">
        <f>'Summary Medians'!$G113</f>
        <v>5082</v>
      </c>
      <c r="D117" s="19">
        <f>'Summary Medians'!$G114</f>
        <v>4776</v>
      </c>
      <c r="E117" s="19">
        <f>'Summary Medians'!$G115</f>
        <v>4164</v>
      </c>
      <c r="F117" s="35">
        <f>+'Summary Medians'!$G$116</f>
        <v>4317</v>
      </c>
      <c r="G117" s="20">
        <f>+'Summary Medians'!$G$117</f>
        <v>2986</v>
      </c>
      <c r="H117" s="42">
        <f>+'Summary Medians'!$G$118</f>
        <v>3016</v>
      </c>
      <c r="I117" s="47">
        <f>+'Summary Medians'!$G$119</f>
        <v>1604</v>
      </c>
      <c r="J117" s="20">
        <f>+'Summary Medians'!$G$120</f>
        <v>1604</v>
      </c>
    </row>
    <row r="118" spans="1:10">
      <c r="A118" s="6" t="s">
        <v>145</v>
      </c>
      <c r="B118" s="19">
        <f>'Summary Medians'!$G129</f>
        <v>0</v>
      </c>
      <c r="C118" s="19">
        <f>'Summary Medians'!$G130</f>
        <v>8936</v>
      </c>
      <c r="D118" s="19">
        <f>'Summary Medians'!$G131</f>
        <v>7207</v>
      </c>
      <c r="E118" s="19">
        <f>'Summary Medians'!$G132</f>
        <v>7364</v>
      </c>
      <c r="F118" s="35">
        <f>+'Summary Medians'!$G$133</f>
        <v>7758.5</v>
      </c>
      <c r="G118" s="20">
        <f>+'Summary Medians'!$G$134</f>
        <v>0</v>
      </c>
      <c r="H118" s="42">
        <f>+'Summary Medians'!$G$135</f>
        <v>0</v>
      </c>
      <c r="I118" s="47">
        <f>+'Summary Medians'!$G$136</f>
        <v>0</v>
      </c>
      <c r="J118" s="20">
        <f>+'Summary Medians'!$G$137</f>
        <v>0</v>
      </c>
    </row>
    <row r="119" spans="1:10" ht="8.25" customHeight="1">
      <c r="A119" s="6"/>
      <c r="B119" s="19"/>
      <c r="C119" s="19"/>
      <c r="D119" s="19"/>
      <c r="E119" s="19"/>
      <c r="F119" s="35"/>
      <c r="G119" s="20"/>
      <c r="H119" s="42"/>
      <c r="I119" s="47"/>
      <c r="J119" s="20"/>
    </row>
    <row r="120" spans="1:10">
      <c r="A120" s="2" t="s">
        <v>146</v>
      </c>
      <c r="B120" s="21">
        <f>'Summary Medians'!$G146</f>
        <v>0</v>
      </c>
      <c r="C120" s="21">
        <f>'Summary Medians'!$G147</f>
        <v>3818</v>
      </c>
      <c r="D120" s="21">
        <f>'Summary Medians'!$G148</f>
        <v>3700</v>
      </c>
      <c r="E120" s="21">
        <f>'Summary Medians'!$G149</f>
        <v>4650</v>
      </c>
      <c r="F120" s="35">
        <f>+'Summary Medians'!$G$150</f>
        <v>3818</v>
      </c>
      <c r="G120" s="22">
        <f>+'Summary Medians'!$G$151</f>
        <v>0</v>
      </c>
      <c r="H120" s="25">
        <f>+'Summary Medians'!$G$152</f>
        <v>0</v>
      </c>
      <c r="I120" s="46">
        <f>+'Summary Medians'!$G$153</f>
        <v>0</v>
      </c>
      <c r="J120" s="20">
        <f>+'Summary Medians'!$G$154</f>
        <v>0</v>
      </c>
    </row>
    <row r="121" spans="1:10">
      <c r="A121" s="2" t="s">
        <v>147</v>
      </c>
      <c r="B121" s="21">
        <f>'Summary Medians'!$G163</f>
        <v>0</v>
      </c>
      <c r="C121" s="21">
        <f>'Summary Medians'!$G164</f>
        <v>7805.6</v>
      </c>
      <c r="D121" s="21">
        <f>'Summary Medians'!$G165</f>
        <v>7811.6</v>
      </c>
      <c r="E121" s="21">
        <f>'Summary Medians'!$G166</f>
        <v>7789.6</v>
      </c>
      <c r="F121" s="35">
        <f>+'Summary Medians'!$G$167</f>
        <v>7803.6</v>
      </c>
      <c r="G121" s="22">
        <f>+'Summary Medians'!$G$168</f>
        <v>0</v>
      </c>
      <c r="H121" s="25">
        <f>+'Summary Medians'!$G$169</f>
        <v>0</v>
      </c>
      <c r="I121" s="46">
        <f>+'Summary Medians'!$G$170</f>
        <v>0</v>
      </c>
      <c r="J121" s="19">
        <f>+'Summary Medians'!$G$171</f>
        <v>0</v>
      </c>
    </row>
    <row r="122" spans="1:10">
      <c r="A122" s="2" t="s">
        <v>148</v>
      </c>
      <c r="B122" s="21">
        <f>'Summary Medians'!$G180</f>
        <v>9143</v>
      </c>
      <c r="C122" s="21">
        <f>'Summary Medians'!$G181</f>
        <v>7047.5</v>
      </c>
      <c r="D122" s="21">
        <f>'Summary Medians'!$G182</f>
        <v>7394</v>
      </c>
      <c r="E122" s="21">
        <f>'Summary Medians'!$G183</f>
        <v>6268.5</v>
      </c>
      <c r="F122" s="35">
        <f>+'Summary Medians'!$G$184</f>
        <v>6551</v>
      </c>
      <c r="G122" s="22">
        <f>+'Summary Medians'!$G$185</f>
        <v>3600</v>
      </c>
      <c r="H122" s="25">
        <f>+'Summary Medians'!$G$186</f>
        <v>2250</v>
      </c>
      <c r="I122" s="46">
        <f>+'Summary Medians'!$G$187</f>
        <v>0</v>
      </c>
      <c r="J122" s="19">
        <f>+'Summary Medians'!$G$188</f>
        <v>2250</v>
      </c>
    </row>
    <row r="123" spans="1:10">
      <c r="A123" s="2" t="s">
        <v>149</v>
      </c>
      <c r="B123" s="21">
        <f>'Summary Medians'!$G197</f>
        <v>15100</v>
      </c>
      <c r="C123" s="21">
        <f>'Summary Medians'!$G198</f>
        <v>7116</v>
      </c>
      <c r="D123" s="21">
        <f>'Summary Medians'!$G199</f>
        <v>6218</v>
      </c>
      <c r="E123" s="21">
        <f>'Summary Medians'!$G200</f>
        <v>10370</v>
      </c>
      <c r="F123" s="35">
        <f>+'Summary Medians'!$G$201</f>
        <v>7116</v>
      </c>
      <c r="G123" s="22">
        <f>+'Summary Medians'!$G$202</f>
        <v>0</v>
      </c>
      <c r="H123" s="25">
        <f>+'Summary Medians'!$G$203</f>
        <v>0</v>
      </c>
      <c r="I123" s="46">
        <f>+'Summary Medians'!$G$204</f>
        <v>0</v>
      </c>
      <c r="J123" s="19">
        <f>+'Summary Medians'!$G$205</f>
        <v>0</v>
      </c>
    </row>
    <row r="124" spans="1:10" ht="11.25" customHeight="1">
      <c r="A124" s="2"/>
      <c r="B124" s="21"/>
      <c r="C124" s="21"/>
      <c r="D124" s="21"/>
      <c r="E124" s="21"/>
      <c r="F124" s="35"/>
      <c r="G124" s="22"/>
      <c r="H124" s="25"/>
      <c r="I124" s="46"/>
      <c r="J124" s="19"/>
    </row>
    <row r="125" spans="1:10">
      <c r="A125" s="2" t="s">
        <v>150</v>
      </c>
      <c r="B125" s="21">
        <f>'Summary Medians'!$G214</f>
        <v>0</v>
      </c>
      <c r="C125" s="21">
        <f>'Summary Medians'!$G215</f>
        <v>11475</v>
      </c>
      <c r="D125" s="21">
        <f>'Summary Medians'!$G216</f>
        <v>11445</v>
      </c>
      <c r="E125" s="21">
        <f>'Summary Medians'!$G217</f>
        <v>11455</v>
      </c>
      <c r="F125" s="35">
        <f>+'Summary Medians'!$G$218</f>
        <v>11453</v>
      </c>
      <c r="G125" s="22">
        <f>+'Summary Medians'!$G$219</f>
        <v>0</v>
      </c>
      <c r="H125" s="25">
        <f>+'Summary Medians'!$G$220</f>
        <v>0</v>
      </c>
      <c r="I125" s="46">
        <f>+'Summary Medians'!$G$221</f>
        <v>0</v>
      </c>
      <c r="J125" s="19">
        <f>+'Summary Medians'!$G$222</f>
        <v>0</v>
      </c>
    </row>
    <row r="126" spans="1:10">
      <c r="A126" s="6" t="s">
        <v>151</v>
      </c>
      <c r="B126" s="21">
        <f>'Summary Medians'!$G231</f>
        <v>3582</v>
      </c>
      <c r="C126" s="21">
        <f>'Summary Medians'!$G232</f>
        <v>3654</v>
      </c>
      <c r="D126" s="21">
        <f>'Summary Medians'!$G233</f>
        <v>3630</v>
      </c>
      <c r="E126" s="21">
        <f>'Summary Medians'!$G234</f>
        <v>3510</v>
      </c>
      <c r="F126" s="35">
        <f>+'Summary Medians'!$G$235</f>
        <v>3630</v>
      </c>
      <c r="G126" s="22">
        <f>+'Summary Medians'!$G$236</f>
        <v>0</v>
      </c>
      <c r="H126" s="25">
        <f>+'Summary Medians'!$G$237</f>
        <v>0</v>
      </c>
      <c r="I126" s="46">
        <f>+'Summary Medians'!$G$238</f>
        <v>0</v>
      </c>
      <c r="J126" s="19">
        <f>+'Summary Medians'!$G$239</f>
        <v>0</v>
      </c>
    </row>
    <row r="127" spans="1:10">
      <c r="A127" s="2" t="s">
        <v>217</v>
      </c>
      <c r="B127" s="21">
        <f>'Summary Medians'!$G248</f>
        <v>0</v>
      </c>
      <c r="C127" s="21">
        <f>'Summary Medians'!$G249</f>
        <v>8244</v>
      </c>
      <c r="D127" s="21">
        <f>'Summary Medians'!$G250</f>
        <v>8244</v>
      </c>
      <c r="E127" s="21">
        <f>'Summary Medians'!$G251</f>
        <v>8244</v>
      </c>
      <c r="F127" s="35">
        <f>+'Summary Medians'!$G$252</f>
        <v>8244</v>
      </c>
      <c r="G127" s="22">
        <f>+'Summary Medians'!$G$253</f>
        <v>0</v>
      </c>
      <c r="H127" s="25">
        <f>+'Summary Medians'!$G$254</f>
        <v>0</v>
      </c>
      <c r="I127" s="46">
        <f>+'Summary Medians'!$G$255</f>
        <v>0</v>
      </c>
      <c r="J127" s="19">
        <f>+'Summary Medians'!$G$256</f>
        <v>0</v>
      </c>
    </row>
    <row r="128" spans="1:10">
      <c r="A128" s="8" t="s">
        <v>153</v>
      </c>
      <c r="B128" s="23">
        <f>'Summary Medians'!$G265</f>
        <v>8046.5</v>
      </c>
      <c r="C128" s="23">
        <f>'Summary Medians'!$G266</f>
        <v>0</v>
      </c>
      <c r="D128" s="23">
        <f>'Summary Medians'!$G267</f>
        <v>0</v>
      </c>
      <c r="E128" s="23">
        <f>'Summary Medians'!$G268</f>
        <v>7240</v>
      </c>
      <c r="F128" s="36">
        <f>+'Summary Medians'!$G$269</f>
        <v>7347</v>
      </c>
      <c r="G128" s="24">
        <f>+'Summary Medians'!$G$270</f>
        <v>0</v>
      </c>
      <c r="H128" s="23">
        <f>+'Summary Medians'!$G$271</f>
        <v>0</v>
      </c>
      <c r="I128" s="48">
        <f>+'Summary Medians'!$G$272</f>
        <v>0</v>
      </c>
      <c r="J128" s="23">
        <f>+'Summary Medians'!$G$273</f>
        <v>0</v>
      </c>
    </row>
    <row r="129" spans="1:10" ht="16.5" customHeight="1">
      <c r="A129" s="128" t="s">
        <v>877</v>
      </c>
      <c r="B129" s="1"/>
      <c r="C129" s="1"/>
      <c r="D129" s="1"/>
      <c r="E129" s="1"/>
      <c r="F129" s="1"/>
      <c r="G129" s="1"/>
      <c r="H129" s="1"/>
      <c r="I129" s="1"/>
      <c r="J129" s="30"/>
    </row>
    <row r="130" spans="1:10" ht="61.5" customHeight="1">
      <c r="A130" s="566" t="s">
        <v>344</v>
      </c>
      <c r="B130" s="566"/>
      <c r="C130" s="566"/>
      <c r="D130" s="566"/>
      <c r="E130" s="566"/>
      <c r="F130" s="566"/>
      <c r="G130" s="566"/>
      <c r="H130" s="566"/>
      <c r="I130" s="566"/>
      <c r="J130" s="566"/>
    </row>
    <row r="131" spans="1:10" ht="15.75">
      <c r="A131"/>
      <c r="B131"/>
      <c r="C131"/>
      <c r="D131"/>
      <c r="E131"/>
      <c r="F131"/>
      <c r="G131"/>
      <c r="H131"/>
      <c r="I131"/>
      <c r="J131" s="129" t="s">
        <v>1116</v>
      </c>
    </row>
    <row r="132" spans="1:10" ht="18">
      <c r="A132" s="564" t="s">
        <v>1122</v>
      </c>
      <c r="B132" s="564"/>
      <c r="C132" s="564"/>
      <c r="D132" s="564"/>
      <c r="E132" s="564"/>
      <c r="F132" s="564"/>
      <c r="G132" s="564"/>
      <c r="H132" s="564"/>
    </row>
    <row r="133" spans="1:10" ht="18">
      <c r="A133" s="15"/>
      <c r="B133" s="15"/>
      <c r="C133" s="15"/>
      <c r="D133" s="15"/>
      <c r="E133" s="15"/>
      <c r="F133" s="15"/>
      <c r="G133" s="15"/>
      <c r="H133" s="50"/>
    </row>
    <row r="134" spans="1:10" ht="15.75">
      <c r="A134" s="565" t="s">
        <v>136</v>
      </c>
      <c r="B134" s="565"/>
      <c r="C134" s="565"/>
      <c r="D134" s="565"/>
      <c r="E134" s="565"/>
      <c r="F134" s="565"/>
      <c r="G134" s="565"/>
      <c r="H134" s="565"/>
    </row>
    <row r="135" spans="1:10" ht="15.75">
      <c r="A135" s="565" t="s">
        <v>155</v>
      </c>
      <c r="B135" s="565"/>
      <c r="C135" s="565"/>
      <c r="D135" s="565"/>
      <c r="E135" s="565"/>
      <c r="F135" s="565"/>
      <c r="G135" s="565"/>
      <c r="H135" s="565"/>
    </row>
    <row r="136" spans="1:10" ht="15.75">
      <c r="A136" s="565" t="s">
        <v>1043</v>
      </c>
      <c r="B136" s="565"/>
      <c r="C136" s="565"/>
      <c r="D136" s="565"/>
      <c r="E136" s="565"/>
      <c r="F136" s="565"/>
      <c r="G136" s="565"/>
      <c r="H136" s="565"/>
    </row>
    <row r="137" spans="1:10" ht="15.75">
      <c r="A137" s="10"/>
      <c r="B137" s="10"/>
      <c r="C137" s="10"/>
      <c r="D137" s="10"/>
      <c r="E137" s="10"/>
      <c r="F137" s="10"/>
      <c r="G137" s="10"/>
      <c r="H137" s="50"/>
    </row>
    <row r="138" spans="1:10">
      <c r="A138" s="11"/>
      <c r="B138" s="11" t="s">
        <v>138</v>
      </c>
      <c r="C138" s="11"/>
      <c r="D138" s="11"/>
      <c r="E138" s="11"/>
      <c r="F138" s="11"/>
      <c r="G138" s="11"/>
      <c r="H138" s="114"/>
    </row>
    <row r="139" spans="1:10">
      <c r="A139" s="78"/>
      <c r="B139" s="79">
        <v>1</v>
      </c>
      <c r="C139" s="79">
        <v>2</v>
      </c>
      <c r="D139" s="79">
        <v>3</v>
      </c>
      <c r="E139" s="79">
        <v>4</v>
      </c>
      <c r="F139" s="79">
        <v>5</v>
      </c>
      <c r="G139" s="79">
        <v>6</v>
      </c>
      <c r="H139" s="107" t="s">
        <v>631</v>
      </c>
    </row>
    <row r="140" spans="1:10" ht="15.75">
      <c r="A140"/>
      <c r="B140" s="12"/>
      <c r="C140" s="12"/>
      <c r="D140" s="12"/>
      <c r="E140" s="12"/>
      <c r="F140" s="12"/>
      <c r="G140" s="62"/>
      <c r="H140" s="50"/>
    </row>
    <row r="141" spans="1:10">
      <c r="A141" s="6" t="s">
        <v>316</v>
      </c>
      <c r="B141" s="66">
        <f>+'Summary Medians'!$J$275</f>
        <v>8043.52</v>
      </c>
      <c r="C141" s="66">
        <f>+'Summary Medians'!$J$276</f>
        <v>6893.76</v>
      </c>
      <c r="D141" s="66">
        <f>+'Summary Medians'!$J$277</f>
        <v>6334</v>
      </c>
      <c r="E141" s="66">
        <f>+'Summary Medians'!$J$278</f>
        <v>5800</v>
      </c>
      <c r="F141" s="66">
        <f>+'Summary Medians'!$J$279</f>
        <v>4908</v>
      </c>
      <c r="G141" s="66">
        <f>+'Summary Medians'!$J$280</f>
        <v>5233.5</v>
      </c>
      <c r="H141" s="108">
        <f>+'Summary Medians'!$J$281</f>
        <v>6163.2</v>
      </c>
    </row>
    <row r="142" spans="1:10">
      <c r="A142" s="6"/>
      <c r="B142" s="39"/>
      <c r="C142" s="39"/>
      <c r="D142" s="39"/>
      <c r="E142" s="39"/>
      <c r="F142" s="39"/>
      <c r="G142" s="40"/>
      <c r="H142" s="115"/>
    </row>
    <row r="143" spans="1:10">
      <c r="A143" s="2" t="s">
        <v>139</v>
      </c>
      <c r="B143" s="21">
        <f>+'Summary Medians'!$J$3</f>
        <v>6924</v>
      </c>
      <c r="C143" s="21">
        <f>+'Summary Medians'!$J$4</f>
        <v>8030</v>
      </c>
      <c r="D143" s="21">
        <f>+'Summary Medians'!$J$5</f>
        <v>6455</v>
      </c>
      <c r="E143" s="21">
        <f>+'Summary Medians'!$J$6</f>
        <v>5946</v>
      </c>
      <c r="F143" s="21">
        <f>+'Summary Medians'!$J$7</f>
        <v>6037</v>
      </c>
      <c r="G143" s="21">
        <f>+'Summary Medians'!$J$8</f>
        <v>0</v>
      </c>
      <c r="H143" s="109">
        <f>+'Summary Medians'!$J$9</f>
        <v>6334</v>
      </c>
    </row>
    <row r="144" spans="1:10">
      <c r="A144" s="2" t="s">
        <v>140</v>
      </c>
      <c r="B144" s="21">
        <f>+'Summary Medians'!$J$20</f>
        <v>8189</v>
      </c>
      <c r="C144" s="21">
        <f>+'Summary Medians'!$J$21</f>
        <v>0</v>
      </c>
      <c r="D144" s="21">
        <f>+'Summary Medians'!$J$22</f>
        <v>6361</v>
      </c>
      <c r="E144" s="21">
        <f>+'Summary Medians'!$J$23</f>
        <v>5593.5</v>
      </c>
      <c r="F144" s="21">
        <f>+'Summary Medians'!$J$24</f>
        <v>5485</v>
      </c>
      <c r="G144" s="21">
        <f>+'Summary Medians'!$J$25</f>
        <v>4664</v>
      </c>
      <c r="H144" s="109">
        <f>+'Summary Medians'!$J$26</f>
        <v>6067</v>
      </c>
    </row>
    <row r="145" spans="1:8">
      <c r="A145" s="2" t="s">
        <v>211</v>
      </c>
      <c r="B145" s="21">
        <f>+'Summary Medians'!$J$37</f>
        <v>22952</v>
      </c>
      <c r="C145" s="21">
        <f>+'Summary Medians'!$J$38</f>
        <v>0</v>
      </c>
      <c r="D145" s="21">
        <f>+'Summary Medians'!$J$39</f>
        <v>0</v>
      </c>
      <c r="E145" s="21">
        <f>+'Summary Medians'!$J$40</f>
        <v>4730</v>
      </c>
      <c r="F145" s="21">
        <f>+'Summary Medians'!$J$41</f>
        <v>0</v>
      </c>
      <c r="G145" s="21">
        <f>+'Summary Medians'!$J$42</f>
        <v>0</v>
      </c>
      <c r="H145" s="109">
        <f>+'Summary Medians'!$J$43</f>
        <v>0</v>
      </c>
    </row>
    <row r="146" spans="1:8">
      <c r="A146" s="6" t="s">
        <v>141</v>
      </c>
      <c r="B146" s="21">
        <f>+'Summary Medians'!$J$54</f>
        <v>8143.04</v>
      </c>
      <c r="C146" s="21">
        <f>+'Summary Medians'!$J$55</f>
        <v>7264.32</v>
      </c>
      <c r="D146" s="21">
        <f>+'Summary Medians'!$J$56</f>
        <v>6771.6</v>
      </c>
      <c r="E146" s="21">
        <f>+'Summary Medians'!$J$57</f>
        <v>7261.44</v>
      </c>
      <c r="F146" s="21">
        <f>+'Summary Medians'!$J$58</f>
        <v>0</v>
      </c>
      <c r="G146" s="21">
        <f>+'Summary Medians'!$J$59</f>
        <v>0</v>
      </c>
      <c r="H146" s="109">
        <f>+'Summary Medians'!$J$60</f>
        <v>7545.72</v>
      </c>
    </row>
    <row r="147" spans="1:8">
      <c r="A147" s="6"/>
      <c r="B147" s="21"/>
      <c r="C147" s="21"/>
      <c r="D147" s="21"/>
      <c r="E147" s="21"/>
      <c r="F147" s="21"/>
      <c r="G147" s="21"/>
      <c r="H147" s="109"/>
    </row>
    <row r="148" spans="1:8">
      <c r="A148" s="6" t="s">
        <v>142</v>
      </c>
      <c r="B148" s="21">
        <f>+'Summary Medians'!$J$71</f>
        <v>7748</v>
      </c>
      <c r="C148" s="21">
        <f>+'Summary Medians'!$J$72</f>
        <v>8420</v>
      </c>
      <c r="D148" s="21">
        <f>+'Summary Medians'!$J$73</f>
        <v>5710</v>
      </c>
      <c r="E148" s="21">
        <f>+'Summary Medians'!$J$74</f>
        <v>4975</v>
      </c>
      <c r="F148" s="21">
        <f>+'Summary Medians'!$J$75</f>
        <v>4637</v>
      </c>
      <c r="G148" s="21">
        <f>+'Summary Medians'!$J$76</f>
        <v>5119</v>
      </c>
      <c r="H148" s="109">
        <f>+'Summary Medians'!$J$77</f>
        <v>5119</v>
      </c>
    </row>
    <row r="149" spans="1:8">
      <c r="A149" s="2" t="s">
        <v>143</v>
      </c>
      <c r="B149" s="21">
        <f>+'Summary Medians'!$J$88</f>
        <v>8700</v>
      </c>
      <c r="C149" s="21">
        <f>+'Summary Medians'!$J$89</f>
        <v>0</v>
      </c>
      <c r="D149" s="21">
        <f>+'Summary Medians'!$J$90</f>
        <v>7920</v>
      </c>
      <c r="E149" s="21">
        <f>+'Summary Medians'!$J$91</f>
        <v>8820</v>
      </c>
      <c r="F149" s="21">
        <f>+'Summary Medians'!$J$92</f>
        <v>6084</v>
      </c>
      <c r="G149" s="21">
        <f>+'Summary Medians'!$J$93</f>
        <v>0</v>
      </c>
      <c r="H149" s="109">
        <f>+'Summary Medians'!$J$94</f>
        <v>8523</v>
      </c>
    </row>
    <row r="150" spans="1:8">
      <c r="A150" s="2" t="s">
        <v>144</v>
      </c>
      <c r="B150" s="21">
        <f>+'Summary Medians'!$J$105</f>
        <v>5932.4</v>
      </c>
      <c r="C150" s="21">
        <f>+'Summary Medians'!$J$106</f>
        <v>5038</v>
      </c>
      <c r="D150" s="21">
        <f>+'Summary Medians'!$J$107</f>
        <v>4154.6000000000004</v>
      </c>
      <c r="E150" s="21">
        <f>+'Summary Medians'!$J$108</f>
        <v>4662.3</v>
      </c>
      <c r="F150" s="21">
        <f>+'Summary Medians'!$J$109</f>
        <v>0</v>
      </c>
      <c r="G150" s="21">
        <f>+'Summary Medians'!$J$110</f>
        <v>0</v>
      </c>
      <c r="H150" s="109">
        <f>+'Summary Medians'!$J$111</f>
        <v>4741.7</v>
      </c>
    </row>
    <row r="151" spans="1:8">
      <c r="A151" s="6" t="s">
        <v>145</v>
      </c>
      <c r="B151" s="21">
        <f>+'Summary Medians'!$J$122</f>
        <v>16824</v>
      </c>
      <c r="C151" s="21">
        <f>+'Summary Medians'!$J$123</f>
        <v>13392</v>
      </c>
      <c r="D151" s="21">
        <f>+'Summary Medians'!$J$124</f>
        <v>9360</v>
      </c>
      <c r="E151" s="21">
        <f>+'Summary Medians'!$J$125</f>
        <v>9171</v>
      </c>
      <c r="F151" s="21">
        <f>+'Summary Medians'!$J$126</f>
        <v>0</v>
      </c>
      <c r="G151" s="21">
        <f>+'Summary Medians'!$J$127</f>
        <v>13234</v>
      </c>
      <c r="H151" s="109">
        <f>+'Summary Medians'!$J$128</f>
        <v>9598</v>
      </c>
    </row>
    <row r="152" spans="1:8">
      <c r="A152" s="6"/>
      <c r="B152" s="21"/>
      <c r="C152" s="21"/>
      <c r="D152" s="21"/>
      <c r="E152" s="21"/>
      <c r="F152" s="21"/>
      <c r="G152" s="21"/>
      <c r="H152" s="109"/>
    </row>
    <row r="153" spans="1:8">
      <c r="A153" s="2" t="s">
        <v>146</v>
      </c>
      <c r="B153" s="21">
        <f>+'Summary Medians'!$J$139</f>
        <v>5123.5</v>
      </c>
      <c r="C153" s="21">
        <f>+'Summary Medians'!$J$140</f>
        <v>4870.5</v>
      </c>
      <c r="D153" s="21">
        <f>+'Summary Medians'!$J$141</f>
        <v>0</v>
      </c>
      <c r="E153" s="21">
        <f>+'Summary Medians'!$J$142</f>
        <v>4498</v>
      </c>
      <c r="F153" s="21">
        <f>+'Summary Medians'!$J$143</f>
        <v>4423</v>
      </c>
      <c r="G153" s="21">
        <f>+'Summary Medians'!$J$144</f>
        <v>0</v>
      </c>
      <c r="H153" s="109">
        <f>+'Summary Medians'!$J$145</f>
        <v>4604.5</v>
      </c>
    </row>
    <row r="154" spans="1:8">
      <c r="A154" s="2" t="s">
        <v>147</v>
      </c>
      <c r="B154" s="21">
        <f>+'Summary Medians'!$J$156</f>
        <v>6551</v>
      </c>
      <c r="C154" s="21">
        <f>+'Summary Medians'!$J$157</f>
        <v>4759</v>
      </c>
      <c r="D154" s="21">
        <f>+'Summary Medians'!$J$158</f>
        <v>4798.5</v>
      </c>
      <c r="E154" s="21">
        <f>+'Summary Medians'!$J$159</f>
        <v>3527</v>
      </c>
      <c r="F154" s="21">
        <f>+'Summary Medians'!$J$160</f>
        <v>3698.5</v>
      </c>
      <c r="G154" s="21">
        <f>+'Summary Medians'!$J$161</f>
        <v>3954</v>
      </c>
      <c r="H154" s="109">
        <f>+'Summary Medians'!$J$162</f>
        <v>4688</v>
      </c>
    </row>
    <row r="155" spans="1:8">
      <c r="A155" s="2" t="s">
        <v>148</v>
      </c>
      <c r="B155" s="21">
        <f>+'Summary Medians'!$J$173</f>
        <v>5824</v>
      </c>
      <c r="C155" s="21">
        <f>+'Summary Medians'!$J$174</f>
        <v>0</v>
      </c>
      <c r="D155" s="21">
        <f>+'Summary Medians'!$J$175</f>
        <v>4325</v>
      </c>
      <c r="E155" s="21">
        <f>+'Summary Medians'!$J$176</f>
        <v>0</v>
      </c>
      <c r="F155" s="21">
        <f>+'Summary Medians'!$J$177</f>
        <v>3975.5</v>
      </c>
      <c r="G155" s="21">
        <f>+'Summary Medians'!$J$178</f>
        <v>0</v>
      </c>
      <c r="H155" s="109">
        <f>+'Summary Medians'!$J$179</f>
        <v>4088.5</v>
      </c>
    </row>
    <row r="156" spans="1:8">
      <c r="A156" s="2" t="s">
        <v>149</v>
      </c>
      <c r="B156" s="21">
        <f>+'Summary Medians'!$J$190</f>
        <v>8959</v>
      </c>
      <c r="C156" s="21">
        <f>+'Summary Medians'!$J$191</f>
        <v>0</v>
      </c>
      <c r="D156" s="21">
        <f>+'Summary Medians'!$J$192</f>
        <v>10533</v>
      </c>
      <c r="E156" s="21">
        <f>+'Summary Medians'!$J$193</f>
        <v>9685</v>
      </c>
      <c r="F156" s="21">
        <f>+'Summary Medians'!$J$194</f>
        <v>8160</v>
      </c>
      <c r="G156" s="21">
        <f>+'Summary Medians'!$J$195</f>
        <v>10188</v>
      </c>
      <c r="H156" s="109">
        <f>+'Summary Medians'!$J$196</f>
        <v>9685</v>
      </c>
    </row>
    <row r="157" spans="1:8" ht="15.75">
      <c r="A157" s="2"/>
      <c r="B157"/>
      <c r="C157"/>
      <c r="D157"/>
      <c r="E157"/>
      <c r="F157"/>
      <c r="G157"/>
      <c r="H157" s="110"/>
    </row>
    <row r="158" spans="1:8">
      <c r="A158" s="2" t="s">
        <v>150</v>
      </c>
      <c r="B158" s="21">
        <f>+'Summary Medians'!$J$207</f>
        <v>7958</v>
      </c>
      <c r="C158" s="21">
        <f>+'Summary Medians'!$J$208</f>
        <v>0</v>
      </c>
      <c r="D158" s="21">
        <f>+'Summary Medians'!$J$209</f>
        <v>7162</v>
      </c>
      <c r="E158" s="21">
        <f>+'Summary Medians'!$J$210</f>
        <v>7444</v>
      </c>
      <c r="F158" s="21">
        <f>+'Summary Medians'!$J$211</f>
        <v>6658</v>
      </c>
      <c r="G158" s="21">
        <f>+'Summary Medians'!$J$212</f>
        <v>0</v>
      </c>
      <c r="H158" s="109">
        <f>+'Summary Medians'!$J$213</f>
        <v>7169</v>
      </c>
    </row>
    <row r="159" spans="1:8">
      <c r="A159" s="6" t="s">
        <v>151</v>
      </c>
      <c r="B159" s="21">
        <f>+'Summary Medians'!$J$224</f>
        <v>9278.4</v>
      </c>
      <c r="C159" s="21">
        <f>+'Summary Medians'!$J$225</f>
        <v>8006.4</v>
      </c>
      <c r="D159" s="21">
        <f>+'Summary Medians'!$J$226</f>
        <v>5883</v>
      </c>
      <c r="E159" s="21">
        <f>+'Summary Medians'!$J$227</f>
        <v>5059.7999999999993</v>
      </c>
      <c r="F159" s="21">
        <f>+'Summary Medians'!$J$228</f>
        <v>4830</v>
      </c>
      <c r="G159" s="21">
        <f>+'Summary Medians'!$J$229</f>
        <v>7230</v>
      </c>
      <c r="H159" s="109">
        <f>+'Summary Medians'!$J$230</f>
        <v>6192</v>
      </c>
    </row>
    <row r="160" spans="1:8">
      <c r="A160" s="2" t="s">
        <v>152</v>
      </c>
      <c r="B160" s="21">
        <f>+'Summary Medians'!$J$241</f>
        <v>10228</v>
      </c>
      <c r="C160" s="21">
        <f>+'Summary Medians'!$J$242</f>
        <v>10014</v>
      </c>
      <c r="D160" s="21">
        <f>+'Summary Medians'!$J$243</f>
        <v>7457</v>
      </c>
      <c r="E160" s="21">
        <f>+'Summary Medians'!$J$244</f>
        <v>7716.5</v>
      </c>
      <c r="F160" s="21">
        <f>+'Summary Medians'!$J$245</f>
        <v>6738</v>
      </c>
      <c r="G160" s="21">
        <f>+'Summary Medians'!$J$246</f>
        <v>0</v>
      </c>
      <c r="H160" s="109">
        <f>+'Summary Medians'!$J$247</f>
        <v>8209.5</v>
      </c>
    </row>
    <row r="161" spans="1:8">
      <c r="A161" s="8" t="s">
        <v>153</v>
      </c>
      <c r="B161" s="26">
        <f>+'Summary Medians'!$J$258</f>
        <v>5838</v>
      </c>
      <c r="C161" s="26">
        <f>+'Summary Medians'!$J$259</f>
        <v>0</v>
      </c>
      <c r="D161" s="26">
        <f>+'Summary Medians'!$J$260</f>
        <v>5516</v>
      </c>
      <c r="E161" s="26">
        <f>+'Summary Medians'!$J$261</f>
        <v>0</v>
      </c>
      <c r="F161" s="26">
        <f>+'Summary Medians'!$J$262</f>
        <v>5400</v>
      </c>
      <c r="G161" s="26">
        <f>+'Summary Medians'!$J$263</f>
        <v>5108</v>
      </c>
      <c r="H161" s="111">
        <f>+'Summary Medians'!$J$264</f>
        <v>5374</v>
      </c>
    </row>
    <row r="162" spans="1:8" ht="39.75" customHeight="1">
      <c r="A162" s="563" t="s">
        <v>436</v>
      </c>
      <c r="B162" s="563"/>
      <c r="C162" s="563"/>
      <c r="D162" s="563"/>
      <c r="E162" s="563"/>
      <c r="F162" s="563"/>
      <c r="G162" s="563"/>
      <c r="H162" s="563"/>
    </row>
    <row r="163" spans="1:8" ht="15.75">
      <c r="A163" s="50"/>
      <c r="B163" s="50"/>
      <c r="C163" s="50"/>
      <c r="D163" s="50"/>
      <c r="E163" s="50"/>
      <c r="F163" s="50"/>
      <c r="G163" s="50"/>
      <c r="H163" s="129" t="s">
        <v>1116</v>
      </c>
    </row>
    <row r="164" spans="1:8" ht="18">
      <c r="A164" s="564" t="s">
        <v>1123</v>
      </c>
      <c r="B164" s="564"/>
      <c r="C164" s="564"/>
      <c r="D164" s="564"/>
      <c r="E164" s="564"/>
      <c r="F164" s="564"/>
      <c r="G164" s="564"/>
      <c r="H164" s="564"/>
    </row>
    <row r="165" spans="1:8">
      <c r="A165" s="72"/>
      <c r="B165" s="72"/>
      <c r="C165" s="72"/>
      <c r="D165" s="72"/>
      <c r="E165" s="72"/>
      <c r="F165" s="72"/>
      <c r="G165" s="72"/>
      <c r="H165" s="116"/>
    </row>
    <row r="166" spans="1:8" ht="15.75">
      <c r="A166" s="565" t="s">
        <v>136</v>
      </c>
      <c r="B166" s="565"/>
      <c r="C166" s="565"/>
      <c r="D166" s="565"/>
      <c r="E166" s="565"/>
      <c r="F166" s="565"/>
      <c r="G166" s="565"/>
      <c r="H166" s="565"/>
    </row>
    <row r="167" spans="1:8" ht="15.75">
      <c r="A167" s="565" t="s">
        <v>458</v>
      </c>
      <c r="B167" s="565"/>
      <c r="C167" s="565"/>
      <c r="D167" s="565"/>
      <c r="E167" s="565"/>
      <c r="F167" s="565"/>
      <c r="G167" s="565"/>
      <c r="H167" s="565"/>
    </row>
    <row r="168" spans="1:8" ht="15.75">
      <c r="A168" s="565" t="s">
        <v>1043</v>
      </c>
      <c r="B168" s="565"/>
      <c r="C168" s="565"/>
      <c r="D168" s="565"/>
      <c r="E168" s="565"/>
      <c r="F168" s="565"/>
      <c r="G168" s="565"/>
      <c r="H168" s="565"/>
    </row>
    <row r="169" spans="1:8">
      <c r="A169" s="2"/>
      <c r="B169" s="2"/>
      <c r="C169" s="2"/>
      <c r="D169" s="2"/>
      <c r="E169" s="71"/>
      <c r="F169" s="71"/>
      <c r="G169" s="71"/>
      <c r="H169" s="117"/>
    </row>
    <row r="170" spans="1:8">
      <c r="A170" s="11"/>
      <c r="B170" s="11" t="s">
        <v>138</v>
      </c>
      <c r="C170" s="11"/>
      <c r="D170" s="11"/>
      <c r="E170" s="11"/>
      <c r="F170" s="11"/>
      <c r="G170" s="37"/>
      <c r="H170" s="118"/>
    </row>
    <row r="171" spans="1:8">
      <c r="A171" s="78"/>
      <c r="B171" s="79">
        <v>1</v>
      </c>
      <c r="C171" s="79">
        <v>2</v>
      </c>
      <c r="D171" s="79">
        <v>3</v>
      </c>
      <c r="E171" s="79">
        <v>4</v>
      </c>
      <c r="F171" s="79">
        <v>5</v>
      </c>
      <c r="G171" s="79">
        <v>6</v>
      </c>
      <c r="H171" s="107" t="s">
        <v>631</v>
      </c>
    </row>
    <row r="172" spans="1:8" ht="15.75">
      <c r="A172"/>
      <c r="B172"/>
      <c r="C172"/>
      <c r="D172"/>
      <c r="E172"/>
      <c r="F172"/>
      <c r="G172" s="58"/>
      <c r="H172" s="50"/>
    </row>
    <row r="173" spans="1:8">
      <c r="A173" s="6" t="s">
        <v>316</v>
      </c>
      <c r="B173" s="66">
        <f>+'Summary Medians'!$M$275</f>
        <v>18982</v>
      </c>
      <c r="C173" s="66">
        <f>+'Summary Medians'!$M$276</f>
        <v>16076</v>
      </c>
      <c r="D173" s="66">
        <f>+'Summary Medians'!$M$277</f>
        <v>13759</v>
      </c>
      <c r="E173" s="66">
        <f>+'Summary Medians'!$M$278</f>
        <v>12584.8</v>
      </c>
      <c r="F173" s="66">
        <f>+'Summary Medians'!$M$279</f>
        <v>11965.625</v>
      </c>
      <c r="G173" s="66">
        <f>+'Summary Medians'!$M$280</f>
        <v>13145</v>
      </c>
      <c r="H173" s="108">
        <f>+'Summary Medians'!$M$281</f>
        <v>15100.8</v>
      </c>
    </row>
    <row r="174" spans="1:8">
      <c r="A174" s="6"/>
      <c r="B174" s="39"/>
      <c r="C174" s="39"/>
      <c r="D174" s="39"/>
      <c r="E174" s="39"/>
      <c r="F174" s="39"/>
      <c r="G174" s="40"/>
      <c r="H174" s="115"/>
    </row>
    <row r="175" spans="1:8">
      <c r="A175" s="2" t="s">
        <v>139</v>
      </c>
      <c r="B175" s="21">
        <f>+'Summary Medians'!$M$3</f>
        <v>19200</v>
      </c>
      <c r="C175" s="21">
        <f>+'Summary Medians'!$M$4</f>
        <v>19272</v>
      </c>
      <c r="D175" s="21">
        <f>+'Summary Medians'!$M$5</f>
        <v>12462</v>
      </c>
      <c r="E175" s="21">
        <f>+'Summary Medians'!$M$6</f>
        <v>14196</v>
      </c>
      <c r="F175" s="21">
        <f>+'Summary Medians'!$M$7</f>
        <v>11773</v>
      </c>
      <c r="G175" s="21">
        <f>+'Summary Medians'!$M$8</f>
        <v>0</v>
      </c>
      <c r="H175" s="109">
        <f>+'Summary Medians'!$M$9</f>
        <v>13152</v>
      </c>
    </row>
    <row r="176" spans="1:8">
      <c r="A176" s="2" t="s">
        <v>140</v>
      </c>
      <c r="B176" s="21">
        <f>+'Summary Medians'!$M$20</f>
        <v>17848</v>
      </c>
      <c r="C176" s="21">
        <f>+'Summary Medians'!$M$21</f>
        <v>0</v>
      </c>
      <c r="D176" s="21">
        <f>+'Summary Medians'!$M$22</f>
        <v>13759</v>
      </c>
      <c r="E176" s="21">
        <f>+'Summary Medians'!$M$23</f>
        <v>10417.5</v>
      </c>
      <c r="F176" s="21">
        <f>+'Summary Medians'!$M$24</f>
        <v>9169</v>
      </c>
      <c r="G176" s="21">
        <f>+'Summary Medians'!$M$25</f>
        <v>9416</v>
      </c>
      <c r="H176" s="109">
        <f>+'Summary Medians'!$M$26</f>
        <v>11131</v>
      </c>
    </row>
    <row r="177" spans="1:8">
      <c r="A177" s="2" t="s">
        <v>211</v>
      </c>
      <c r="B177" s="21">
        <f>+'Summary Medians'!$M$37</f>
        <v>22952</v>
      </c>
      <c r="C177" s="21">
        <f>+'Summary Medians'!$M$38</f>
        <v>0</v>
      </c>
      <c r="D177" s="21">
        <f>+'Summary Medians'!$M$39</f>
        <v>0</v>
      </c>
      <c r="E177" s="21">
        <f>+'Summary Medians'!$M$40</f>
        <v>9974</v>
      </c>
      <c r="F177" s="21">
        <f>+'Summary Medians'!$M$41</f>
        <v>0</v>
      </c>
      <c r="G177" s="21">
        <f>+'Summary Medians'!$M$42</f>
        <v>0</v>
      </c>
      <c r="H177" s="109">
        <f>+'Summary Medians'!$M$43</f>
        <v>0</v>
      </c>
    </row>
    <row r="178" spans="1:8">
      <c r="A178" s="6" t="s">
        <v>141</v>
      </c>
      <c r="B178" s="21">
        <f>+'Summary Medians'!$M$54</f>
        <v>23044.720000000001</v>
      </c>
      <c r="C178" s="21">
        <f>+'Summary Medians'!$M$55</f>
        <v>22305.599999999999</v>
      </c>
      <c r="D178" s="21">
        <f>+'Summary Medians'!$M$56</f>
        <v>22166.639999999999</v>
      </c>
      <c r="E178" s="21">
        <f>+'Summary Medians'!$M$57</f>
        <v>26341.68</v>
      </c>
      <c r="F178" s="21">
        <f>+'Summary Medians'!$M$58</f>
        <v>0</v>
      </c>
      <c r="G178" s="21">
        <f>+'Summary Medians'!$M$59</f>
        <v>0</v>
      </c>
      <c r="H178" s="109">
        <f>+'Summary Medians'!$M$60</f>
        <v>22675.16</v>
      </c>
    </row>
    <row r="179" spans="1:8">
      <c r="A179" s="6"/>
      <c r="B179" s="21"/>
      <c r="C179" s="21"/>
      <c r="D179" s="21"/>
      <c r="E179" s="21"/>
      <c r="F179" s="21"/>
      <c r="G179" s="21"/>
      <c r="H179" s="109"/>
    </row>
    <row r="180" spans="1:8">
      <c r="A180" s="6" t="s">
        <v>142</v>
      </c>
      <c r="B180" s="21">
        <f>+'Summary Medians'!$M$71</f>
        <v>24808</v>
      </c>
      <c r="C180" s="21">
        <f>+'Summary Medians'!$M$72</f>
        <v>26492</v>
      </c>
      <c r="D180" s="21">
        <f>+'Summary Medians'!$M$73</f>
        <v>18010</v>
      </c>
      <c r="E180" s="21">
        <f>+'Summary Medians'!$M$74</f>
        <v>16635</v>
      </c>
      <c r="F180" s="21">
        <f>+'Summary Medians'!$M$75</f>
        <v>15623</v>
      </c>
      <c r="G180" s="21">
        <f>+'Summary Medians'!$M$76</f>
        <v>17359</v>
      </c>
      <c r="H180" s="109">
        <f>+'Summary Medians'!$M$77</f>
        <v>17222</v>
      </c>
    </row>
    <row r="181" spans="1:8">
      <c r="A181" s="2" t="s">
        <v>143</v>
      </c>
      <c r="B181" s="21">
        <f>+'Summary Medians'!$M$88</f>
        <v>18296.5</v>
      </c>
      <c r="C181" s="21">
        <f>+'Summary Medians'!$M$89</f>
        <v>0</v>
      </c>
      <c r="D181" s="21">
        <f>+'Summary Medians'!$M$90</f>
        <v>18384</v>
      </c>
      <c r="E181" s="21">
        <f>+'Summary Medians'!$M$91</f>
        <v>18636</v>
      </c>
      <c r="F181" s="21">
        <f>+'Summary Medians'!$M$92</f>
        <v>14598</v>
      </c>
      <c r="G181" s="21">
        <f>+'Summary Medians'!$M$93</f>
        <v>0</v>
      </c>
      <c r="H181" s="109">
        <f>+'Summary Medians'!$M$94</f>
        <v>18236.5</v>
      </c>
    </row>
    <row r="182" spans="1:8">
      <c r="A182" s="2" t="s">
        <v>144</v>
      </c>
      <c r="B182" s="21">
        <f>+'Summary Medians'!$M$105</f>
        <v>15082.4</v>
      </c>
      <c r="C182" s="21">
        <f>+'Summary Medians'!$M$106</f>
        <v>13194</v>
      </c>
      <c r="D182" s="21">
        <f>+'Summary Medians'!$M$107</f>
        <v>10775.28</v>
      </c>
      <c r="E182" s="21">
        <f>+'Summary Medians'!$M$108</f>
        <v>10960</v>
      </c>
      <c r="F182" s="21">
        <f>+'Summary Medians'!$M$109</f>
        <v>0</v>
      </c>
      <c r="G182" s="21">
        <f>+'Summary Medians'!$M$110</f>
        <v>0</v>
      </c>
      <c r="H182" s="109">
        <f>+'Summary Medians'!$M$111</f>
        <v>11153</v>
      </c>
    </row>
    <row r="183" spans="1:8">
      <c r="A183" s="6" t="s">
        <v>145</v>
      </c>
      <c r="B183" s="21">
        <f>+'Summary Medians'!$M$122</f>
        <v>29904</v>
      </c>
      <c r="C183" s="21">
        <f>+'Summary Medians'!$M$123</f>
        <v>20376</v>
      </c>
      <c r="D183" s="21">
        <f>+'Summary Medians'!$M$124</f>
        <v>16584</v>
      </c>
      <c r="E183" s="21">
        <f>+'Summary Medians'!$M$125</f>
        <v>14354</v>
      </c>
      <c r="F183" s="21">
        <f>+'Summary Medians'!$M$126</f>
        <v>0</v>
      </c>
      <c r="G183" s="21">
        <f>+'Summary Medians'!$M$127</f>
        <v>24627</v>
      </c>
      <c r="H183" s="109">
        <f>+'Summary Medians'!$M$128</f>
        <v>16850</v>
      </c>
    </row>
    <row r="184" spans="1:8">
      <c r="A184" s="6"/>
      <c r="B184" s="21"/>
      <c r="C184" s="21"/>
      <c r="D184" s="21"/>
      <c r="E184" s="21"/>
      <c r="F184" s="21"/>
      <c r="G184" s="21"/>
      <c r="H184" s="109"/>
    </row>
    <row r="185" spans="1:8">
      <c r="A185" s="2" t="s">
        <v>146</v>
      </c>
      <c r="B185" s="21">
        <f>+'Summary Medians'!$M$139</f>
        <v>13034.98</v>
      </c>
      <c r="C185" s="21">
        <f>+'Summary Medians'!$M$140</f>
        <v>12202.32</v>
      </c>
      <c r="D185" s="21">
        <f>+'Summary Medians'!$M$141</f>
        <v>0</v>
      </c>
      <c r="E185" s="21">
        <f>+'Summary Medians'!$M$142</f>
        <v>11410.345000000001</v>
      </c>
      <c r="F185" s="21">
        <f>+'Summary Medians'!$M$143</f>
        <v>12051.25</v>
      </c>
      <c r="G185" s="21">
        <f>+'Summary Medians'!$M$144</f>
        <v>0</v>
      </c>
      <c r="H185" s="109">
        <f>+'Summary Medians'!$M$145</f>
        <v>11784.95</v>
      </c>
    </row>
    <row r="186" spans="1:8">
      <c r="A186" s="2" t="s">
        <v>147</v>
      </c>
      <c r="B186" s="21">
        <f>+'Summary Medians'!$M$156</f>
        <v>19774</v>
      </c>
      <c r="C186" s="21">
        <f>+'Summary Medians'!$M$157</f>
        <v>15702.5</v>
      </c>
      <c r="D186" s="21">
        <f>+'Summary Medians'!$M$158</f>
        <v>15149.5</v>
      </c>
      <c r="E186" s="21">
        <f>+'Summary Medians'!$M$159</f>
        <v>13214</v>
      </c>
      <c r="F186" s="21">
        <f>+'Summary Medians'!$M$160</f>
        <v>12955</v>
      </c>
      <c r="G186" s="21">
        <f>+'Summary Medians'!$M$161</f>
        <v>14326</v>
      </c>
      <c r="H186" s="109">
        <f>+'Summary Medians'!$M$162</f>
        <v>15237</v>
      </c>
    </row>
    <row r="187" spans="1:8">
      <c r="A187" s="2" t="s">
        <v>148</v>
      </c>
      <c r="B187" s="21">
        <f>+'Summary Medians'!$M$173</f>
        <v>16106</v>
      </c>
      <c r="C187" s="21">
        <f>+'Summary Medians'!$M$174</f>
        <v>0</v>
      </c>
      <c r="D187" s="21">
        <f>+'Summary Medians'!$M$175</f>
        <v>9917.5</v>
      </c>
      <c r="E187" s="21">
        <f>+'Summary Medians'!$M$176</f>
        <v>0</v>
      </c>
      <c r="F187" s="21">
        <f>+'Summary Medians'!$M$177</f>
        <v>9654</v>
      </c>
      <c r="G187" s="21">
        <f>+'Summary Medians'!$M$178</f>
        <v>0</v>
      </c>
      <c r="H187" s="109">
        <f>+'Summary Medians'!$M$179</f>
        <v>9794</v>
      </c>
    </row>
    <row r="188" spans="1:8">
      <c r="A188" s="2" t="s">
        <v>149</v>
      </c>
      <c r="B188" s="21">
        <f>+'Summary Medians'!$M$190</f>
        <v>18429</v>
      </c>
      <c r="C188" s="21">
        <f>+'Summary Medians'!$M$191</f>
        <v>0</v>
      </c>
      <c r="D188" s="21">
        <f>+'Summary Medians'!$M$192</f>
        <v>22362</v>
      </c>
      <c r="E188" s="21">
        <f>+'Summary Medians'!$M$193</f>
        <v>15853</v>
      </c>
      <c r="F188" s="21">
        <f>+'Summary Medians'!$M$194</f>
        <v>15985</v>
      </c>
      <c r="G188" s="21">
        <f>+'Summary Medians'!$M$195</f>
        <v>21480</v>
      </c>
      <c r="H188" s="109">
        <f>+'Summary Medians'!$M$196</f>
        <v>18288</v>
      </c>
    </row>
    <row r="189" spans="1:8" ht="15.75">
      <c r="A189" s="2"/>
      <c r="B189"/>
      <c r="C189"/>
      <c r="D189"/>
      <c r="E189"/>
      <c r="F189"/>
      <c r="G189"/>
      <c r="H189" s="110"/>
    </row>
    <row r="190" spans="1:8">
      <c r="A190" s="2" t="s">
        <v>150</v>
      </c>
      <c r="B190" s="21">
        <f>+'Summary Medians'!$M$207</f>
        <v>20424</v>
      </c>
      <c r="C190" s="21">
        <f>+'Summary Medians'!$M$208</f>
        <v>0</v>
      </c>
      <c r="D190" s="21">
        <f>+'Summary Medians'!$M$209</f>
        <v>18194</v>
      </c>
      <c r="E190" s="21">
        <f>+'Summary Medians'!$M$210</f>
        <v>18476</v>
      </c>
      <c r="F190" s="21">
        <f>+'Summary Medians'!$M$211</f>
        <v>18044</v>
      </c>
      <c r="G190" s="21">
        <f>+'Summary Medians'!$M$212</f>
        <v>0</v>
      </c>
      <c r="H190" s="109">
        <f>+'Summary Medians'!$M$213</f>
        <v>18201</v>
      </c>
    </row>
    <row r="191" spans="1:8">
      <c r="A191" s="6" t="s">
        <v>151</v>
      </c>
      <c r="B191" s="21">
        <f>+'Summary Medians'!$M$224</f>
        <v>16132.8</v>
      </c>
      <c r="C191" s="21">
        <f>+'Summary Medians'!$M$225</f>
        <v>15984</v>
      </c>
      <c r="D191" s="21">
        <f>+'Summary Medians'!$M$226</f>
        <v>12471</v>
      </c>
      <c r="E191" s="21">
        <f>+'Summary Medians'!$M$227</f>
        <v>11430</v>
      </c>
      <c r="F191" s="21">
        <f>+'Summary Medians'!$M$228</f>
        <v>11154</v>
      </c>
      <c r="G191" s="21">
        <f>+'Summary Medians'!$M$229</f>
        <v>13974</v>
      </c>
      <c r="H191" s="109">
        <f>+'Summary Medians'!$M$230</f>
        <v>12811.199999999999</v>
      </c>
    </row>
    <row r="192" spans="1:8">
      <c r="A192" s="2" t="s">
        <v>152</v>
      </c>
      <c r="B192" s="21">
        <f>+'Summary Medians'!$M$241</f>
        <v>22628</v>
      </c>
      <c r="C192" s="21">
        <f>+'Summary Medians'!$M$242</f>
        <v>20494</v>
      </c>
      <c r="D192" s="21">
        <f>+'Summary Medians'!$M$243</f>
        <v>18238</v>
      </c>
      <c r="E192" s="21">
        <f>+'Summary Medians'!$M$244</f>
        <v>19633</v>
      </c>
      <c r="F192" s="21">
        <f>+'Summary Medians'!$M$245</f>
        <v>15173</v>
      </c>
      <c r="G192" s="21">
        <f>+'Summary Medians'!$M$246</f>
        <v>0</v>
      </c>
      <c r="H192" s="109">
        <f>+'Summary Medians'!$M$247</f>
        <v>19835.5</v>
      </c>
    </row>
    <row r="193" spans="1:8">
      <c r="A193" s="8" t="s">
        <v>153</v>
      </c>
      <c r="B193" s="26">
        <f>+'Summary Medians'!$M$258</f>
        <v>16920</v>
      </c>
      <c r="C193" s="26">
        <f>+'Summary Medians'!$M$259</f>
        <v>0</v>
      </c>
      <c r="D193" s="26">
        <f>+'Summary Medians'!$M$260</f>
        <v>13836</v>
      </c>
      <c r="E193" s="26">
        <f>+'Summary Medians'!$M$261</f>
        <v>0</v>
      </c>
      <c r="F193" s="26">
        <f>+'Summary Medians'!$M$262</f>
        <v>11776</v>
      </c>
      <c r="G193" s="26">
        <f>+'Summary Medians'!$M$263</f>
        <v>7920</v>
      </c>
      <c r="H193" s="111">
        <f>+'Summary Medians'!$M$264</f>
        <v>10585</v>
      </c>
    </row>
    <row r="194" spans="1:8" ht="39.75" customHeight="1">
      <c r="A194" s="563" t="s">
        <v>436</v>
      </c>
      <c r="B194" s="563"/>
      <c r="C194" s="563"/>
      <c r="D194" s="563"/>
      <c r="E194" s="563"/>
      <c r="F194" s="563"/>
      <c r="G194" s="563"/>
      <c r="H194" s="563"/>
    </row>
    <row r="195" spans="1:8" ht="15.75">
      <c r="A195"/>
      <c r="B195"/>
      <c r="C195"/>
      <c r="D195"/>
      <c r="E195"/>
      <c r="F195"/>
      <c r="G195"/>
      <c r="H195" s="129" t="s">
        <v>1116</v>
      </c>
    </row>
    <row r="196" spans="1:8" ht="18">
      <c r="A196" s="564" t="s">
        <v>1124</v>
      </c>
      <c r="B196" s="564"/>
      <c r="C196" s="564"/>
      <c r="D196" s="564"/>
      <c r="E196" s="564"/>
      <c r="F196" s="564"/>
      <c r="G196" s="564"/>
      <c r="H196" s="564"/>
    </row>
    <row r="197" spans="1:8">
      <c r="A197" s="72"/>
      <c r="B197" s="72"/>
      <c r="C197" s="72"/>
      <c r="D197" s="72"/>
      <c r="E197" s="72"/>
      <c r="F197" s="72"/>
      <c r="G197" s="72"/>
      <c r="H197" s="116"/>
    </row>
    <row r="198" spans="1:8" ht="15.75">
      <c r="A198" s="565" t="s">
        <v>136</v>
      </c>
      <c r="B198" s="565"/>
      <c r="C198" s="565"/>
      <c r="D198" s="565"/>
      <c r="E198" s="565"/>
      <c r="F198" s="565"/>
      <c r="G198" s="565"/>
      <c r="H198" s="565"/>
    </row>
    <row r="199" spans="1:8" ht="15.75">
      <c r="A199" s="565" t="s">
        <v>459</v>
      </c>
      <c r="B199" s="565"/>
      <c r="C199" s="565"/>
      <c r="D199" s="565"/>
      <c r="E199" s="565"/>
      <c r="F199" s="565"/>
      <c r="G199" s="565"/>
      <c r="H199" s="565"/>
    </row>
    <row r="200" spans="1:8" ht="15.75">
      <c r="A200" s="565" t="s">
        <v>1043</v>
      </c>
      <c r="B200" s="565"/>
      <c r="C200" s="565"/>
      <c r="D200" s="565"/>
      <c r="E200" s="565"/>
      <c r="F200" s="565"/>
      <c r="G200" s="565"/>
      <c r="H200" s="565"/>
    </row>
    <row r="201" spans="1:8">
      <c r="A201" s="2"/>
      <c r="B201" s="2"/>
      <c r="C201" s="2"/>
      <c r="D201" s="2"/>
      <c r="E201" s="71"/>
      <c r="F201" s="71"/>
      <c r="G201" s="71"/>
      <c r="H201" s="117"/>
    </row>
    <row r="202" spans="1:8">
      <c r="A202" s="11"/>
      <c r="B202" s="11"/>
      <c r="C202" s="11"/>
      <c r="D202" s="11"/>
      <c r="E202" s="11"/>
      <c r="F202" s="11"/>
      <c r="G202" s="11" t="s">
        <v>202</v>
      </c>
      <c r="H202" s="11" t="s">
        <v>203</v>
      </c>
    </row>
    <row r="203" spans="1:8">
      <c r="A203" s="78"/>
      <c r="B203" s="304" t="s">
        <v>204</v>
      </c>
      <c r="C203" s="304" t="s">
        <v>205</v>
      </c>
      <c r="D203" s="304" t="s">
        <v>206</v>
      </c>
      <c r="E203" s="304" t="s">
        <v>207</v>
      </c>
      <c r="F203" s="304" t="s">
        <v>208</v>
      </c>
      <c r="G203" s="304" t="s">
        <v>205</v>
      </c>
      <c r="H203" s="304" t="s">
        <v>205</v>
      </c>
    </row>
    <row r="204" spans="1:8" ht="15.75">
      <c r="A204"/>
      <c r="B204"/>
      <c r="C204"/>
      <c r="D204"/>
      <c r="E204"/>
      <c r="F204"/>
      <c r="G204" s="305"/>
      <c r="H204" s="113"/>
    </row>
    <row r="205" spans="1:8">
      <c r="A205" s="6" t="s">
        <v>316</v>
      </c>
      <c r="B205" s="66">
        <f>+'Summary Medians'!$P$291</f>
        <v>13608</v>
      </c>
      <c r="C205" s="66">
        <f>+'Summary Medians'!$V$291</f>
        <v>18371.23</v>
      </c>
      <c r="D205" s="66">
        <f>+'Summary Medians'!$AB$291</f>
        <v>18443</v>
      </c>
      <c r="E205" s="66">
        <f>+'Summary Medians'!$AH$291</f>
        <v>14520</v>
      </c>
      <c r="F205" s="66">
        <f>+'Summary Medians'!$AN$291</f>
        <v>17787</v>
      </c>
      <c r="G205" s="66">
        <f>+'Summary Medians'!$AT$291</f>
        <v>19291</v>
      </c>
      <c r="H205" s="41">
        <f>+'Summary Medians'!$AZ$291</f>
        <v>14650.2</v>
      </c>
    </row>
    <row r="206" spans="1:8">
      <c r="A206" s="6"/>
      <c r="B206" s="39"/>
      <c r="C206" s="39"/>
      <c r="D206" s="39"/>
      <c r="E206" s="39"/>
      <c r="F206" s="39"/>
      <c r="G206" s="39"/>
      <c r="H206" s="101"/>
    </row>
    <row r="207" spans="1:8">
      <c r="A207" s="2" t="s">
        <v>139</v>
      </c>
      <c r="B207" s="21">
        <f>+'Summary Medians'!$P$19</f>
        <v>14450</v>
      </c>
      <c r="C207" s="21">
        <f>+'Summary Medians'!$V$19</f>
        <v>18512</v>
      </c>
      <c r="D207" s="21">
        <f>+'Summary Medians'!$AB$19</f>
        <v>17452</v>
      </c>
      <c r="E207" s="21">
        <f>+'Summary Medians'!$AH$19</f>
        <v>15298</v>
      </c>
      <c r="F207" s="21">
        <f>+'Summary Medians'!$AN$19</f>
        <v>17787</v>
      </c>
      <c r="G207" s="21">
        <f>+'Summary Medians'!$AT$19</f>
        <v>0</v>
      </c>
      <c r="H207" s="42">
        <f>+'Summary Medians'!$AZ$19</f>
        <v>12412</v>
      </c>
    </row>
    <row r="208" spans="1:8">
      <c r="A208" s="2" t="s">
        <v>140</v>
      </c>
      <c r="B208" s="21">
        <f>+'Summary Medians'!$P$36</f>
        <v>8868</v>
      </c>
      <c r="C208" s="21">
        <f>+'Summary Medians'!$V$36</f>
        <v>17951</v>
      </c>
      <c r="D208" s="21">
        <f>+'Summary Medians'!$AB$36</f>
        <v>0</v>
      </c>
      <c r="E208" s="21">
        <f>+'Summary Medians'!$AH$36</f>
        <v>10363</v>
      </c>
      <c r="F208" s="21">
        <f>+'Summary Medians'!$AN$36</f>
        <v>0</v>
      </c>
      <c r="G208" s="21">
        <f>+'Summary Medians'!$AT$36</f>
        <v>0</v>
      </c>
      <c r="H208" s="42">
        <f>+'Summary Medians'!$AZ$36</f>
        <v>0</v>
      </c>
    </row>
    <row r="209" spans="1:8">
      <c r="A209" s="2" t="s">
        <v>211</v>
      </c>
      <c r="B209" s="21">
        <f>+'Summary Medians'!$P$53</f>
        <v>0</v>
      </c>
      <c r="C209" s="21">
        <f>+'Summary Medians'!$V$53</f>
        <v>0</v>
      </c>
      <c r="D209" s="21">
        <f>+'Summary Medians'!$AB$53</f>
        <v>0</v>
      </c>
      <c r="E209" s="21">
        <f>+'Summary Medians'!$AH$53</f>
        <v>0</v>
      </c>
      <c r="F209" s="21">
        <f>+'Summary Medians'!$AN$53</f>
        <v>0</v>
      </c>
      <c r="G209" s="21">
        <f>+'Summary Medians'!$AT$53</f>
        <v>0</v>
      </c>
      <c r="H209" s="42">
        <f>+'Summary Medians'!$AZ$53</f>
        <v>0</v>
      </c>
    </row>
    <row r="210" spans="1:8">
      <c r="A210" s="6" t="s">
        <v>141</v>
      </c>
      <c r="B210" s="21">
        <f>+'Summary Medians'!$P$70</f>
        <v>10939.92</v>
      </c>
      <c r="C210" s="21">
        <f>+'Summary Medians'!$V$70</f>
        <v>24981.5</v>
      </c>
      <c r="D210" s="21">
        <f>+'Summary Medians'!$AB$70</f>
        <v>26827.02</v>
      </c>
      <c r="E210" s="21">
        <f>+'Summary Medians'!$AH$70</f>
        <v>15211.1</v>
      </c>
      <c r="F210" s="21">
        <f>+'Summary Medians'!$AN$70</f>
        <v>0</v>
      </c>
      <c r="G210" s="21">
        <f>+'Summary Medians'!$AT$70</f>
        <v>0</v>
      </c>
      <c r="H210" s="42">
        <f>+'Summary Medians'!$AZ$70</f>
        <v>23349.98</v>
      </c>
    </row>
    <row r="211" spans="1:8">
      <c r="A211" s="6"/>
      <c r="B211" s="21"/>
      <c r="C211" s="21"/>
      <c r="D211" s="21"/>
      <c r="E211" s="21"/>
      <c r="F211" s="21"/>
      <c r="G211" s="21"/>
      <c r="H211" s="42"/>
    </row>
    <row r="212" spans="1:8">
      <c r="A212" s="6" t="s">
        <v>142</v>
      </c>
      <c r="B212" s="21">
        <f>+'Summary Medians'!$P$87</f>
        <v>13186</v>
      </c>
      <c r="C212" s="21">
        <f>+'Summary Medians'!$V$87</f>
        <v>18138</v>
      </c>
      <c r="D212" s="21">
        <f>+'Summary Medians'!$AB$87</f>
        <v>13586</v>
      </c>
      <c r="E212" s="21">
        <f>+'Summary Medians'!$AH$87</f>
        <v>12816</v>
      </c>
      <c r="F212" s="21">
        <f>+'Summary Medians'!$AN$87</f>
        <v>0</v>
      </c>
      <c r="G212" s="21">
        <f>+'Summary Medians'!$AT$87</f>
        <v>0</v>
      </c>
      <c r="H212" s="42">
        <f>+'Summary Medians'!$AZ$87</f>
        <v>14330</v>
      </c>
    </row>
    <row r="213" spans="1:8">
      <c r="A213" s="2" t="s">
        <v>143</v>
      </c>
      <c r="B213" s="21">
        <f>+'Summary Medians'!$P$104</f>
        <v>14440</v>
      </c>
      <c r="C213" s="21">
        <f>+'Summary Medians'!$V$104</f>
        <v>27478.5</v>
      </c>
      <c r="D213" s="21">
        <f>+'Summary Medians'!$AB$104</f>
        <v>22743</v>
      </c>
      <c r="E213" s="21">
        <f>+'Summary Medians'!$AH$104</f>
        <v>20345</v>
      </c>
      <c r="F213" s="21">
        <f>+'Summary Medians'!$AN$104</f>
        <v>0</v>
      </c>
      <c r="G213" s="21">
        <f>+'Summary Medians'!$AT$104</f>
        <v>0</v>
      </c>
      <c r="H213" s="42">
        <f>+'Summary Medians'!$AZ$104</f>
        <v>0</v>
      </c>
    </row>
    <row r="214" spans="1:8">
      <c r="A214" s="2" t="s">
        <v>144</v>
      </c>
      <c r="B214" s="21">
        <f>+'Summary Medians'!$P$121</f>
        <v>11162.875</v>
      </c>
      <c r="C214" s="21">
        <f>+'Summary Medians'!$V$121</f>
        <v>13030.625</v>
      </c>
      <c r="D214" s="21">
        <f>+'Summary Medians'!$AB$121</f>
        <v>12000</v>
      </c>
      <c r="E214" s="21">
        <f>+'Summary Medians'!$AH$121</f>
        <v>13667.9</v>
      </c>
      <c r="F214" s="21">
        <f>+'Summary Medians'!$AN$121</f>
        <v>0</v>
      </c>
      <c r="G214" s="21">
        <f>+'Summary Medians'!$AT$121</f>
        <v>0</v>
      </c>
      <c r="H214" s="42">
        <f>+'Summary Medians'!$AZ$121</f>
        <v>14641.4</v>
      </c>
    </row>
    <row r="215" spans="1:8">
      <c r="A215" s="6" t="s">
        <v>145</v>
      </c>
      <c r="B215" s="21">
        <f>+'Summary Medians'!$P$138</f>
        <v>23877</v>
      </c>
      <c r="C215" s="21">
        <f>+'Summary Medians'!$V$138</f>
        <v>24989</v>
      </c>
      <c r="D215" s="21">
        <f>+'Summary Medians'!$AB$138</f>
        <v>22437</v>
      </c>
      <c r="E215" s="21">
        <f>+'Summary Medians'!$AH$138</f>
        <v>16634</v>
      </c>
      <c r="F215" s="21">
        <f>+'Summary Medians'!$AN$138</f>
        <v>0</v>
      </c>
      <c r="G215" s="21">
        <f>+'Summary Medians'!$AT$138</f>
        <v>0</v>
      </c>
      <c r="H215" s="42">
        <f>+'Summary Medians'!$AZ$138</f>
        <v>0</v>
      </c>
    </row>
    <row r="216" spans="1:8">
      <c r="A216" s="6"/>
      <c r="B216" s="21"/>
      <c r="C216" s="21"/>
      <c r="D216" s="21"/>
      <c r="E216" s="21"/>
      <c r="F216" s="21"/>
      <c r="G216" s="21"/>
      <c r="H216" s="42"/>
    </row>
    <row r="217" spans="1:8">
      <c r="A217" s="2" t="s">
        <v>146</v>
      </c>
      <c r="B217" s="21">
        <f>+'Summary Medians'!$P$155</f>
        <v>9350</v>
      </c>
      <c r="C217" s="21">
        <f>+'Summary Medians'!$V$155</f>
        <v>13649</v>
      </c>
      <c r="D217" s="21">
        <f>+'Summary Medians'!$AB$155</f>
        <v>14030</v>
      </c>
      <c r="E217" s="21">
        <f>+'Summary Medians'!$AH$155</f>
        <v>12348</v>
      </c>
      <c r="F217" s="21">
        <f>+'Summary Medians'!$AN$155</f>
        <v>0</v>
      </c>
      <c r="G217" s="21">
        <f>+'Summary Medians'!$AT$155</f>
        <v>0</v>
      </c>
      <c r="H217" s="42">
        <f>+'Summary Medians'!$AZ$155</f>
        <v>15847</v>
      </c>
    </row>
    <row r="218" spans="1:8">
      <c r="A218" s="2" t="s">
        <v>147</v>
      </c>
      <c r="B218" s="21">
        <f>+'Summary Medians'!$P$172</f>
        <v>11797.5</v>
      </c>
      <c r="C218" s="21">
        <f>+'Summary Medians'!$V$172</f>
        <v>11852</v>
      </c>
      <c r="D218" s="21">
        <f>+'Summary Medians'!$AB$172</f>
        <v>18443</v>
      </c>
      <c r="E218" s="21">
        <f>+'Summary Medians'!$AH$172</f>
        <v>14520</v>
      </c>
      <c r="F218" s="21">
        <f>+'Summary Medians'!$AN$172</f>
        <v>0</v>
      </c>
      <c r="G218" s="21">
        <f>+'Summary Medians'!$AT$172</f>
        <v>0</v>
      </c>
      <c r="H218" s="42">
        <f>+'Summary Medians'!$AZ$172</f>
        <v>10884</v>
      </c>
    </row>
    <row r="219" spans="1:8">
      <c r="A219" s="2" t="s">
        <v>148</v>
      </c>
      <c r="B219" s="21">
        <f>+'Summary Medians'!$P$189</f>
        <v>15986</v>
      </c>
      <c r="C219" s="21">
        <f>+'Summary Medians'!$V$189</f>
        <v>20648</v>
      </c>
      <c r="D219" s="21">
        <f>+'Summary Medians'!$AB$189</f>
        <v>18831</v>
      </c>
      <c r="E219" s="21">
        <f>+'Summary Medians'!$AH$189</f>
        <v>12246.5</v>
      </c>
      <c r="F219" s="21">
        <f>+'Summary Medians'!$AN$189</f>
        <v>12882</v>
      </c>
      <c r="G219" s="21">
        <f>+'Summary Medians'!$AT$189</f>
        <v>19291</v>
      </c>
      <c r="H219" s="42">
        <f>+'Summary Medians'!$AZ$189</f>
        <v>14295</v>
      </c>
    </row>
    <row r="220" spans="1:8">
      <c r="A220" s="2" t="s">
        <v>149</v>
      </c>
      <c r="B220" s="21">
        <f>+'Summary Medians'!$P$206</f>
        <v>19034</v>
      </c>
      <c r="C220" s="21">
        <f>+'Summary Medians'!$V$206</f>
        <v>28333</v>
      </c>
      <c r="D220" s="21">
        <f>+'Summary Medians'!$AB$206</f>
        <v>26288</v>
      </c>
      <c r="E220" s="21">
        <f>+'Summary Medians'!$AH$206</f>
        <v>16900</v>
      </c>
      <c r="F220" s="21">
        <f>+'Summary Medians'!$AN$206</f>
        <v>0</v>
      </c>
      <c r="G220" s="21">
        <f>+'Summary Medians'!$AT$206</f>
        <v>0</v>
      </c>
      <c r="H220" s="42">
        <f>+'Summary Medians'!$AZ$206</f>
        <v>0</v>
      </c>
    </row>
    <row r="221" spans="1:8" ht="15.75">
      <c r="A221" s="2"/>
      <c r="B221"/>
      <c r="C221"/>
      <c r="D221"/>
      <c r="E221"/>
      <c r="F221"/>
      <c r="G221"/>
      <c r="H221" s="113"/>
    </row>
    <row r="222" spans="1:8">
      <c r="A222" s="2" t="s">
        <v>150</v>
      </c>
      <c r="B222" s="21">
        <f>+'Summary Medians'!$P$223</f>
        <v>13104</v>
      </c>
      <c r="C222" s="21">
        <f>+'Summary Medians'!$V$223</f>
        <v>23187.5</v>
      </c>
      <c r="D222" s="21">
        <f>+'Summary Medians'!$AB$223</f>
        <v>20846</v>
      </c>
      <c r="E222" s="21">
        <f>+'Summary Medians'!$AH$223</f>
        <v>21153.5</v>
      </c>
      <c r="F222" s="21">
        <f>+'Summary Medians'!$AN$223</f>
        <v>0</v>
      </c>
      <c r="G222" s="21">
        <f>+'Summary Medians'!$AT$223</f>
        <v>0</v>
      </c>
      <c r="H222" s="42">
        <f>+'Summary Medians'!$AZ$223</f>
        <v>18366</v>
      </c>
    </row>
    <row r="223" spans="1:8">
      <c r="A223" s="6" t="s">
        <v>151</v>
      </c>
      <c r="B223" s="21">
        <f>+'Summary Medians'!$P$240</f>
        <v>13810</v>
      </c>
      <c r="C223" s="21">
        <f>+'Summary Medians'!$V$240</f>
        <v>13461</v>
      </c>
      <c r="D223" s="21">
        <f>+'Summary Medians'!$AB$240</f>
        <v>15325</v>
      </c>
      <c r="E223" s="21">
        <f>+'Summary Medians'!$AH$240</f>
        <v>10572.5</v>
      </c>
      <c r="F223" s="21">
        <f>+'Summary Medians'!$AN$240</f>
        <v>19019</v>
      </c>
      <c r="G223" s="21">
        <f>+'Summary Medians'!$AT$240</f>
        <v>14877</v>
      </c>
      <c r="H223" s="42">
        <f>+'Summary Medians'!$AZ$240</f>
        <v>14659</v>
      </c>
    </row>
    <row r="224" spans="1:8">
      <c r="A224" s="2" t="s">
        <v>152</v>
      </c>
      <c r="B224" s="21">
        <f>+'Summary Medians'!$P$257</f>
        <v>21646</v>
      </c>
      <c r="C224" s="21">
        <f>+'Summary Medians'!$V$257</f>
        <v>31858</v>
      </c>
      <c r="D224" s="21">
        <f>+'Summary Medians'!$AB$257</f>
        <v>29140</v>
      </c>
      <c r="E224" s="21">
        <f>+'Summary Medians'!$AH$257</f>
        <v>22422</v>
      </c>
      <c r="F224" s="21">
        <f>+'Summary Medians'!$AN$257</f>
        <v>0</v>
      </c>
      <c r="G224" s="21">
        <f>+'Summary Medians'!$AT$257</f>
        <v>0</v>
      </c>
      <c r="H224" s="42">
        <f>+'Summary Medians'!$AZ$257</f>
        <v>18415</v>
      </c>
    </row>
    <row r="225" spans="1:8">
      <c r="A225" s="8" t="s">
        <v>153</v>
      </c>
      <c r="B225" s="26">
        <f>+'Summary Medians'!$P$274</f>
        <v>11072</v>
      </c>
      <c r="C225" s="26">
        <f>+'Summary Medians'!$V$274</f>
        <v>19329</v>
      </c>
      <c r="D225" s="26">
        <f>+'Summary Medians'!$AB$274</f>
        <v>13264</v>
      </c>
      <c r="E225" s="26">
        <f>+'Summary Medians'!$AH$274</f>
        <v>11216</v>
      </c>
      <c r="F225" s="26">
        <f>+'Summary Medians'!$AN$274</f>
        <v>0</v>
      </c>
      <c r="G225" s="26">
        <f>+'Summary Medians'!$AT$274</f>
        <v>19950</v>
      </c>
      <c r="H225" s="23">
        <f>+'Summary Medians'!$AZ$274</f>
        <v>0</v>
      </c>
    </row>
    <row r="226" spans="1:8" ht="29.25" customHeight="1">
      <c r="A226" s="563" t="s">
        <v>289</v>
      </c>
      <c r="B226" s="563"/>
      <c r="C226" s="563"/>
      <c r="D226" s="563"/>
      <c r="E226" s="563"/>
      <c r="F226" s="563"/>
      <c r="G226" s="563"/>
      <c r="H226" s="563"/>
    </row>
    <row r="227" spans="1:8" ht="15.75">
      <c r="A227"/>
      <c r="B227"/>
      <c r="C227"/>
      <c r="D227"/>
      <c r="E227"/>
      <c r="F227"/>
      <c r="G227"/>
      <c r="H227" s="129" t="s">
        <v>1116</v>
      </c>
    </row>
    <row r="228" spans="1:8" ht="18">
      <c r="A228" s="28" t="s">
        <v>1125</v>
      </c>
      <c r="B228" s="28"/>
      <c r="C228" s="28"/>
      <c r="D228" s="28"/>
      <c r="E228" s="28"/>
      <c r="F228" s="28"/>
      <c r="G228" s="28"/>
      <c r="H228" s="96"/>
    </row>
    <row r="229" spans="1:8">
      <c r="A229" s="70"/>
      <c r="B229" s="70"/>
      <c r="C229" s="70"/>
      <c r="D229" s="70"/>
      <c r="E229" s="70"/>
      <c r="F229" s="70"/>
      <c r="G229" s="70"/>
      <c r="H229" s="97"/>
    </row>
    <row r="230" spans="1:8" ht="15.75">
      <c r="A230" s="29" t="s">
        <v>136</v>
      </c>
      <c r="B230" s="29"/>
      <c r="C230" s="29"/>
      <c r="D230" s="29"/>
      <c r="E230" s="29"/>
      <c r="F230" s="29"/>
      <c r="G230" s="29"/>
      <c r="H230" s="98"/>
    </row>
    <row r="231" spans="1:8" ht="15.75">
      <c r="A231" s="29" t="s">
        <v>210</v>
      </c>
      <c r="B231" s="29"/>
      <c r="C231" s="29"/>
      <c r="D231" s="29"/>
      <c r="E231" s="29"/>
      <c r="F231" s="29"/>
      <c r="G231" s="29"/>
      <c r="H231" s="98"/>
    </row>
    <row r="232" spans="1:8" ht="15.75">
      <c r="A232" s="29" t="s">
        <v>1043</v>
      </c>
      <c r="B232" s="29"/>
      <c r="C232" s="29"/>
      <c r="D232" s="29"/>
      <c r="E232" s="29"/>
      <c r="F232" s="29"/>
      <c r="G232" s="29"/>
      <c r="H232" s="98"/>
    </row>
    <row r="233" spans="1:8">
      <c r="A233" s="73"/>
      <c r="B233" s="73"/>
      <c r="C233" s="73"/>
      <c r="D233" s="73"/>
      <c r="E233" s="73"/>
      <c r="F233" s="73"/>
      <c r="G233" s="73"/>
      <c r="H233" s="121"/>
    </row>
    <row r="234" spans="1:8">
      <c r="A234" s="76"/>
      <c r="B234" s="51"/>
      <c r="C234" s="51"/>
      <c r="D234" s="51"/>
      <c r="E234" s="51"/>
      <c r="F234" s="51"/>
      <c r="G234" s="51" t="s">
        <v>202</v>
      </c>
      <c r="H234" s="119" t="s">
        <v>203</v>
      </c>
    </row>
    <row r="235" spans="1:8">
      <c r="A235" s="77"/>
      <c r="B235" s="27" t="s">
        <v>204</v>
      </c>
      <c r="C235" s="27" t="s">
        <v>205</v>
      </c>
      <c r="D235" s="27" t="s">
        <v>206</v>
      </c>
      <c r="E235" s="27" t="s">
        <v>207</v>
      </c>
      <c r="F235" s="27" t="s">
        <v>208</v>
      </c>
      <c r="G235" s="27" t="s">
        <v>205</v>
      </c>
      <c r="H235" s="120" t="s">
        <v>205</v>
      </c>
    </row>
    <row r="236" spans="1:8" ht="15.75">
      <c r="A236" s="63"/>
      <c r="B236" s="64"/>
      <c r="C236" s="64"/>
      <c r="D236" s="64"/>
      <c r="E236" s="64"/>
      <c r="F236" s="64"/>
      <c r="G236" s="64"/>
      <c r="H236" s="122"/>
    </row>
    <row r="237" spans="1:8">
      <c r="A237" s="6" t="s">
        <v>316</v>
      </c>
      <c r="B237" s="66">
        <f>+'Summary Medians'!$S$291</f>
        <v>26979.84</v>
      </c>
      <c r="C237" s="66">
        <f>+'Summary Medians'!$Y$291</f>
        <v>43020</v>
      </c>
      <c r="D237" s="66">
        <f>+'Summary Medians'!$AE$291</f>
        <v>41272.5</v>
      </c>
      <c r="E237" s="66">
        <f>+'Summary Medians'!$AK$291</f>
        <v>26665</v>
      </c>
      <c r="F237" s="66">
        <f>+'Summary Medians'!$AQ$291</f>
        <v>29822</v>
      </c>
      <c r="G237" s="66">
        <f>+'Summary Medians'!$AW$291</f>
        <v>37213</v>
      </c>
      <c r="H237" s="17">
        <f>+'Summary Medians'!$BC$291</f>
        <v>36592</v>
      </c>
    </row>
    <row r="238" spans="1:8">
      <c r="A238" s="38"/>
      <c r="B238" s="39"/>
      <c r="C238" s="39"/>
      <c r="D238" s="39"/>
      <c r="E238" s="39"/>
      <c r="F238" s="39"/>
      <c r="G238" s="39"/>
      <c r="H238" s="101"/>
    </row>
    <row r="239" spans="1:8">
      <c r="A239" s="2" t="s">
        <v>139</v>
      </c>
      <c r="B239" s="21">
        <f>+'Summary Medians'!$S$19</f>
        <v>26560</v>
      </c>
      <c r="C239" s="21">
        <f>+'Summary Medians'!$Y$19</f>
        <v>51394</v>
      </c>
      <c r="D239" s="21">
        <f>+'Summary Medians'!$AE$19</f>
        <v>47988</v>
      </c>
      <c r="E239" s="21">
        <f>+'Summary Medians'!$AK$19</f>
        <v>27778</v>
      </c>
      <c r="F239" s="21">
        <f>+'Summary Medians'!$AQ$19</f>
        <v>46605</v>
      </c>
      <c r="G239" s="21">
        <f>+'Summary Medians'!$AW$19</f>
        <v>0</v>
      </c>
      <c r="H239" s="19">
        <f>+'Summary Medians'!$BC$19</f>
        <v>36252</v>
      </c>
    </row>
    <row r="240" spans="1:8">
      <c r="A240" s="2" t="s">
        <v>140</v>
      </c>
      <c r="B240" s="21">
        <f>+'Summary Medians'!$S$36</f>
        <v>17793</v>
      </c>
      <c r="C240" s="21">
        <f>+'Summary Medians'!$Y$36</f>
        <v>35075</v>
      </c>
      <c r="D240" s="21"/>
      <c r="E240" s="21">
        <f>+'Summary Medians'!$AK$36</f>
        <v>20483</v>
      </c>
      <c r="F240" s="21">
        <f>+'Summary Medians'!$AQ$36</f>
        <v>0</v>
      </c>
      <c r="G240" s="21">
        <f>+'Summary Medians'!$AW$36</f>
        <v>0</v>
      </c>
      <c r="H240" s="19">
        <f>+'Summary Medians'!$BC$36</f>
        <v>0</v>
      </c>
    </row>
    <row r="241" spans="1:8">
      <c r="A241" s="2" t="s">
        <v>211</v>
      </c>
      <c r="B241" s="21">
        <f>+'Summary Medians'!$S$53</f>
        <v>0</v>
      </c>
      <c r="C241" s="21">
        <f>+'Summary Medians'!$Y$53</f>
        <v>0</v>
      </c>
      <c r="D241" s="21"/>
      <c r="E241" s="21">
        <f>+'Summary Medians'!$AK$53</f>
        <v>0</v>
      </c>
      <c r="F241" s="21">
        <f>+'Summary Medians'!$AQ$53</f>
        <v>0</v>
      </c>
      <c r="G241" s="21">
        <f>+'Summary Medians'!$AW$53</f>
        <v>0</v>
      </c>
      <c r="H241" s="19">
        <f>+'Summary Medians'!$BC$53</f>
        <v>0</v>
      </c>
    </row>
    <row r="242" spans="1:8">
      <c r="A242" s="2" t="s">
        <v>141</v>
      </c>
      <c r="B242" s="21">
        <f>+'Summary Medians'!$S$70</f>
        <v>24045.32</v>
      </c>
      <c r="C242" s="21">
        <f>+'Summary Medians'!$Y$70</f>
        <v>53412.764999999999</v>
      </c>
      <c r="D242" s="21">
        <f>+'Summary Medians'!$AE$70</f>
        <v>53307.78</v>
      </c>
      <c r="E242" s="21">
        <f>+'Summary Medians'!$AK$70</f>
        <v>38354.559999999998</v>
      </c>
      <c r="F242" s="21">
        <f>+'Summary Medians'!$AQ$70</f>
        <v>0</v>
      </c>
      <c r="G242" s="21">
        <f>+'Summary Medians'!$AW$70</f>
        <v>0</v>
      </c>
      <c r="H242" s="19">
        <f>+'Summary Medians'!$BC$70</f>
        <v>42352.36</v>
      </c>
    </row>
    <row r="243" spans="1:8">
      <c r="A243" s="2"/>
      <c r="B243" s="21"/>
      <c r="C243" s="21"/>
      <c r="D243" s="21"/>
      <c r="E243" s="21"/>
      <c r="F243" s="21"/>
      <c r="G243" s="21"/>
      <c r="H243" s="19"/>
    </row>
    <row r="244" spans="1:8">
      <c r="A244" s="2" t="s">
        <v>142</v>
      </c>
      <c r="B244" s="21">
        <f>+'Summary Medians'!$S$87</f>
        <v>31587</v>
      </c>
      <c r="C244" s="21">
        <f>+'Summary Medians'!$Y$87</f>
        <v>31988</v>
      </c>
      <c r="D244" s="21">
        <f>+'Summary Medians'!$AE$87</f>
        <v>40736</v>
      </c>
      <c r="E244" s="21">
        <f>+'Summary Medians'!$AK$87</f>
        <v>30790</v>
      </c>
      <c r="F244" s="21">
        <f>+'Summary Medians'!$AQ$87</f>
        <v>0</v>
      </c>
      <c r="G244" s="21">
        <f>+'Summary Medians'!$AW$87</f>
        <v>0</v>
      </c>
      <c r="H244" s="19">
        <f>+'Summary Medians'!$BC$87</f>
        <v>36000</v>
      </c>
    </row>
    <row r="245" spans="1:8">
      <c r="A245" s="2" t="s">
        <v>143</v>
      </c>
      <c r="B245" s="21">
        <f>+'Summary Medians'!$S$104</f>
        <v>28980</v>
      </c>
      <c r="C245" s="21">
        <f>+'Summary Medians'!$Y$104</f>
        <v>48229.5</v>
      </c>
      <c r="D245" s="21">
        <f>+'Summary Medians'!$AE$104</f>
        <v>48944.5</v>
      </c>
      <c r="E245" s="21">
        <f>+'Summary Medians'!$AK$104</f>
        <v>37034</v>
      </c>
      <c r="F245" s="21">
        <f>+'Summary Medians'!$AQ$104</f>
        <v>0</v>
      </c>
      <c r="G245" s="21">
        <f>+'Summary Medians'!$AW$104</f>
        <v>0</v>
      </c>
      <c r="H245" s="19">
        <f>+'Summary Medians'!$BC$104</f>
        <v>0</v>
      </c>
    </row>
    <row r="246" spans="1:8">
      <c r="A246" s="2" t="s">
        <v>144</v>
      </c>
      <c r="B246" s="21">
        <f>+'Summary Medians'!$S$121</f>
        <v>19010.875</v>
      </c>
      <c r="C246" s="21">
        <f>+'Summary Medians'!$Y$121</f>
        <v>28627.375</v>
      </c>
      <c r="D246" s="21">
        <f>+'Summary Medians'!$AE$121</f>
        <v>25640</v>
      </c>
      <c r="E246" s="21">
        <f>+'Summary Medians'!$AK$121</f>
        <v>24953.46</v>
      </c>
      <c r="F246" s="21">
        <f>+'Summary Medians'!$AQ$121</f>
        <v>0</v>
      </c>
      <c r="G246" s="21">
        <f>+'Summary Medians'!$AW$121</f>
        <v>0</v>
      </c>
      <c r="H246" s="19">
        <f>+'Summary Medians'!$BC$121</f>
        <v>38841.4</v>
      </c>
    </row>
    <row r="247" spans="1:8">
      <c r="A247" s="2" t="s">
        <v>145</v>
      </c>
      <c r="B247" s="21">
        <f>+'Summary Medians'!$S$138</f>
        <v>35514.5</v>
      </c>
      <c r="C247" s="21">
        <f>+'Summary Medians'!$Y$138</f>
        <v>45033</v>
      </c>
      <c r="D247" s="21">
        <f>+'Summary Medians'!$AE$138</f>
        <v>48193</v>
      </c>
      <c r="E247" s="21">
        <f>+'Summary Medians'!$AK$138</f>
        <v>31340</v>
      </c>
      <c r="F247" s="21">
        <f>+'Summary Medians'!$AQ$138</f>
        <v>0</v>
      </c>
      <c r="G247" s="21">
        <f>+'Summary Medians'!$AW$138</f>
        <v>0</v>
      </c>
      <c r="H247" s="19">
        <f>+'Summary Medians'!$BC$138</f>
        <v>0</v>
      </c>
    </row>
    <row r="248" spans="1:8">
      <c r="A248" s="2"/>
      <c r="B248" s="21"/>
      <c r="C248" s="21"/>
      <c r="D248" s="21"/>
      <c r="E248" s="21"/>
      <c r="F248" s="21"/>
      <c r="G248" s="21"/>
      <c r="H248" s="19"/>
    </row>
    <row r="249" spans="1:8">
      <c r="A249" s="2" t="s">
        <v>146</v>
      </c>
      <c r="B249" s="21">
        <f>+'Summary Medians'!$S$155</f>
        <v>20444</v>
      </c>
      <c r="C249" s="21">
        <f>+'Summary Medians'!$Y$155</f>
        <v>31802</v>
      </c>
      <c r="D249" s="21">
        <f>+'Summary Medians'!$AE$155</f>
        <v>32690</v>
      </c>
      <c r="E249" s="21">
        <f>+'Summary Medians'!$AK$155</f>
        <v>26665</v>
      </c>
      <c r="F249" s="21">
        <f>+'Summary Medians'!$AQ$155</f>
        <v>0</v>
      </c>
      <c r="G249" s="21">
        <f>+'Summary Medians'!$AW$155</f>
        <v>0</v>
      </c>
      <c r="H249" s="19">
        <f>+'Summary Medians'!$BC$155</f>
        <v>36932</v>
      </c>
    </row>
    <row r="250" spans="1:8">
      <c r="A250" s="2" t="s">
        <v>147</v>
      </c>
      <c r="B250" s="21">
        <f>+'Summary Medians'!$S$172</f>
        <v>24825.5</v>
      </c>
      <c r="C250" s="21">
        <f>+'Summary Medians'!$Y$172</f>
        <v>37426</v>
      </c>
      <c r="D250" s="21">
        <f>+'Summary Medians'!$AE$172</f>
        <v>31325</v>
      </c>
      <c r="E250" s="21">
        <f>+'Summary Medians'!$AK$172</f>
        <v>31672</v>
      </c>
      <c r="F250" s="21">
        <f>+'Summary Medians'!$AQ$172</f>
        <v>0</v>
      </c>
      <c r="G250" s="21">
        <f>+'Summary Medians'!$AW$172</f>
        <v>0</v>
      </c>
      <c r="H250" s="19">
        <f>+'Summary Medians'!$BC$172</f>
        <v>33647</v>
      </c>
    </row>
    <row r="251" spans="1:8">
      <c r="A251" s="2" t="s">
        <v>148</v>
      </c>
      <c r="B251" s="21">
        <f>+'Summary Medians'!$S$189</f>
        <v>25914.5</v>
      </c>
      <c r="C251" s="21">
        <f>+'Summary Medians'!$Y$189</f>
        <v>44766</v>
      </c>
      <c r="D251" s="21">
        <f>+'Summary Medians'!$AE$189</f>
        <v>41272.5</v>
      </c>
      <c r="E251" s="21">
        <f>+'Summary Medians'!$AK$189</f>
        <v>24787.5</v>
      </c>
      <c r="F251" s="21">
        <f>+'Summary Medians'!$AQ$189</f>
        <v>24982</v>
      </c>
      <c r="G251" s="21">
        <f>+'Summary Medians'!$AW$189</f>
        <v>37213</v>
      </c>
      <c r="H251" s="19">
        <f>+'Summary Medians'!$BC$189</f>
        <v>31570</v>
      </c>
    </row>
    <row r="252" spans="1:8">
      <c r="A252" s="2" t="s">
        <v>149</v>
      </c>
      <c r="B252" s="21">
        <f>+'Summary Medians'!$S$206</f>
        <v>38014</v>
      </c>
      <c r="C252" s="21">
        <f>+'Summary Medians'!$Y$206</f>
        <v>56916</v>
      </c>
      <c r="D252" s="21">
        <f>+'Summary Medians'!$AE$206</f>
        <v>45958</v>
      </c>
      <c r="E252" s="21">
        <f>+'Summary Medians'!$AK$206</f>
        <v>25200</v>
      </c>
      <c r="F252" s="21">
        <f>+'Summary Medians'!$AQ$206</f>
        <v>0</v>
      </c>
      <c r="G252" s="21">
        <f>+'Summary Medians'!$AW$206</f>
        <v>0</v>
      </c>
      <c r="H252" s="19">
        <f>+'Summary Medians'!$BC$206</f>
        <v>0</v>
      </c>
    </row>
    <row r="253" spans="1:8" ht="15.75">
      <c r="A253" s="2"/>
      <c r="B253"/>
      <c r="C253"/>
      <c r="D253"/>
      <c r="E253"/>
      <c r="F253"/>
      <c r="G253"/>
      <c r="H253" s="50"/>
    </row>
    <row r="254" spans="1:8">
      <c r="A254" s="2" t="s">
        <v>150</v>
      </c>
      <c r="B254" s="21">
        <f>+'Summary Medians'!$S$223</f>
        <v>33412</v>
      </c>
      <c r="C254" s="21">
        <f>+'Summary Medians'!$Y$223</f>
        <v>45521.5</v>
      </c>
      <c r="D254" s="21">
        <f>+'Summary Medians'!$AE$223</f>
        <v>48456</v>
      </c>
      <c r="E254" s="21">
        <f>+'Summary Medians'!$AK$223</f>
        <v>28593.5</v>
      </c>
      <c r="F254" s="21">
        <f>+'Summary Medians'!$AQ$223</f>
        <v>0</v>
      </c>
      <c r="G254" s="21">
        <f>+'Summary Medians'!$AW$223</f>
        <v>0</v>
      </c>
      <c r="H254" s="19">
        <f>+'Summary Medians'!$BC$223</f>
        <v>40834</v>
      </c>
    </row>
    <row r="255" spans="1:8">
      <c r="A255" s="6" t="s">
        <v>151</v>
      </c>
      <c r="B255" s="21">
        <f>+'Summary Medians'!$S$240</f>
        <v>19730</v>
      </c>
      <c r="C255" s="21">
        <f>+'Summary Medians'!$Y$240</f>
        <v>26561</v>
      </c>
      <c r="D255" s="21">
        <f>+'Summary Medians'!$AE$240</f>
        <v>26125</v>
      </c>
      <c r="E255" s="21">
        <f>+'Summary Medians'!$AK$240</f>
        <v>18440.5</v>
      </c>
      <c r="F255" s="21">
        <f>+'Summary Medians'!$AQ$240</f>
        <v>29822</v>
      </c>
      <c r="G255" s="21">
        <f>+'Summary Medians'!$AW$240</f>
        <v>30627</v>
      </c>
      <c r="H255" s="19">
        <f>+'Summary Medians'!$BC$240</f>
        <v>25459</v>
      </c>
    </row>
    <row r="256" spans="1:8">
      <c r="A256" s="2" t="s">
        <v>217</v>
      </c>
      <c r="B256" s="21">
        <f>+'Summary Medians'!$S$257</f>
        <v>34220</v>
      </c>
      <c r="C256" s="21">
        <f>+'Summary Medians'!$Y$257</f>
        <v>44085</v>
      </c>
      <c r="D256" s="21">
        <f>+'Summary Medians'!$AE$257</f>
        <v>52089</v>
      </c>
      <c r="E256" s="21">
        <f>+'Summary Medians'!$AK$257</f>
        <v>30632</v>
      </c>
      <c r="F256" s="21">
        <f>+'Summary Medians'!$AQ$257</f>
        <v>0</v>
      </c>
      <c r="G256" s="21">
        <f>+'Summary Medians'!$AW$257</f>
        <v>0</v>
      </c>
      <c r="H256" s="19">
        <f>+'Summary Medians'!$BC$257</f>
        <v>40607</v>
      </c>
    </row>
    <row r="257" spans="1:8">
      <c r="A257" s="8" t="s">
        <v>153</v>
      </c>
      <c r="B257" s="26">
        <f>+'Summary Medians'!$S$274</f>
        <v>24970</v>
      </c>
      <c r="C257" s="26">
        <f>+'Summary Medians'!$Y$274</f>
        <v>45098</v>
      </c>
      <c r="D257" s="26">
        <f>+'Summary Medians'!$AE$274</f>
        <v>33962</v>
      </c>
      <c r="E257" s="26">
        <f>+'Summary Medians'!$AK$274</f>
        <v>28156</v>
      </c>
      <c r="F257" s="26">
        <f>+'Summary Medians'!$AQ$274</f>
        <v>0</v>
      </c>
      <c r="G257" s="26">
        <f>+'Summary Medians'!$AW$274</f>
        <v>49950</v>
      </c>
      <c r="H257" s="23">
        <f>+'Summary Medians'!$BC$274</f>
        <v>0</v>
      </c>
    </row>
    <row r="258" spans="1:8" ht="25.5" customHeight="1">
      <c r="A258" s="563" t="s">
        <v>209</v>
      </c>
      <c r="B258" s="563"/>
      <c r="C258" s="563"/>
      <c r="D258" s="563"/>
      <c r="E258" s="563"/>
      <c r="F258" s="563"/>
      <c r="G258" s="563"/>
      <c r="H258" s="563"/>
    </row>
    <row r="259" spans="1:8" ht="15.75">
      <c r="A259"/>
      <c r="B259"/>
      <c r="C259"/>
      <c r="D259"/>
      <c r="E259"/>
      <c r="F259"/>
      <c r="G259"/>
      <c r="H259" s="129" t="s">
        <v>1116</v>
      </c>
    </row>
  </sheetData>
  <mergeCells count="28">
    <mergeCell ref="A31:H31"/>
    <mergeCell ref="A65:J65"/>
    <mergeCell ref="A34:J34"/>
    <mergeCell ref="A36:J36"/>
    <mergeCell ref="A37:J37"/>
    <mergeCell ref="A38:J38"/>
    <mergeCell ref="A97:H97"/>
    <mergeCell ref="A130:J130"/>
    <mergeCell ref="A99:J99"/>
    <mergeCell ref="A101:J101"/>
    <mergeCell ref="A102:J102"/>
    <mergeCell ref="A103:J103"/>
    <mergeCell ref="A162:H162"/>
    <mergeCell ref="A132:H132"/>
    <mergeCell ref="A134:H134"/>
    <mergeCell ref="A135:H135"/>
    <mergeCell ref="A136:H136"/>
    <mergeCell ref="A194:H194"/>
    <mergeCell ref="A164:H164"/>
    <mergeCell ref="A166:H166"/>
    <mergeCell ref="A167:H167"/>
    <mergeCell ref="A168:H168"/>
    <mergeCell ref="A258:H258"/>
    <mergeCell ref="A226:H226"/>
    <mergeCell ref="A196:H196"/>
    <mergeCell ref="A198:H198"/>
    <mergeCell ref="A199:H199"/>
    <mergeCell ref="A200:H200"/>
  </mergeCells>
  <phoneticPr fontId="0" type="noConversion"/>
  <pageMargins left="0.75" right="0.75" top="1" bottom="1" header="0.75" footer="0.5"/>
  <pageSetup scale="90" firstPageNumber="145" orientation="landscape" useFirstPageNumber="1" r:id="rId1"/>
  <headerFooter alignWithMargins="0">
    <oddHeader>&amp;R&amp;"Arial,Regular"&amp;8SREB-State Data Exchange</oddHeader>
    <oddFooter>&amp;C&amp;"ARIAL,Regular"&amp;10 &amp;P</oddFooter>
  </headerFooter>
  <rowBreaks count="7" manualBreakCount="7">
    <brk id="33" max="9" man="1"/>
    <brk id="66" max="9" man="1"/>
    <brk id="98" max="9" man="1"/>
    <brk id="131" max="9" man="1"/>
    <brk id="163" max="9" man="1"/>
    <brk id="195" max="9" man="1"/>
    <brk id="227" max="9" man="1"/>
  </rowBreaks>
</worksheet>
</file>

<file path=xl/worksheets/sheet3.xml><?xml version="1.0" encoding="utf-8"?>
<worksheet xmlns="http://schemas.openxmlformats.org/spreadsheetml/2006/main" xmlns:r="http://schemas.openxmlformats.org/officeDocument/2006/relationships">
  <sheetPr>
    <tabColor theme="5" tint="0.59999389629810485"/>
  </sheetPr>
  <dimension ref="A1:T264"/>
  <sheetViews>
    <sheetView showGridLines="0" showZeros="0" view="pageBreakPreview" topLeftCell="A37" zoomScaleNormal="100" zoomScaleSheetLayoutView="100" workbookViewId="0">
      <selection activeCell="F48" sqref="F48"/>
    </sheetView>
  </sheetViews>
  <sheetFormatPr defaultColWidth="9" defaultRowHeight="15"/>
  <cols>
    <col min="1" max="1" width="12" style="14" customWidth="1"/>
    <col min="2" max="7" width="8.625" style="14" customWidth="1"/>
    <col min="8" max="8" width="8.625" style="67" customWidth="1"/>
    <col min="9" max="9" width="5.75" style="14" customWidth="1"/>
    <col min="10" max="16384" width="9" style="14"/>
  </cols>
  <sheetData>
    <row r="1" spans="1:20" ht="18">
      <c r="A1" s="28" t="s">
        <v>551</v>
      </c>
      <c r="B1" s="28"/>
      <c r="C1" s="28"/>
      <c r="D1" s="28"/>
      <c r="E1" s="28"/>
      <c r="F1" s="28"/>
      <c r="G1" s="28"/>
      <c r="H1" s="96"/>
    </row>
    <row r="2" spans="1:20" s="90" customFormat="1" ht="12.75">
      <c r="A2" s="70"/>
      <c r="B2" s="70"/>
      <c r="C2" s="70"/>
      <c r="D2" s="70"/>
      <c r="E2" s="70"/>
      <c r="F2" s="70"/>
      <c r="G2" s="70"/>
      <c r="H2" s="97"/>
    </row>
    <row r="3" spans="1:20" ht="15.75">
      <c r="A3" s="29" t="s">
        <v>136</v>
      </c>
      <c r="B3" s="29"/>
      <c r="C3" s="29"/>
      <c r="D3" s="29"/>
      <c r="E3" s="29"/>
      <c r="F3" s="29"/>
      <c r="G3" s="29"/>
      <c r="H3" s="98"/>
    </row>
    <row r="4" spans="1:20" ht="15.75">
      <c r="A4" s="29" t="s">
        <v>137</v>
      </c>
      <c r="B4" s="29"/>
      <c r="C4" s="29"/>
      <c r="D4" s="29"/>
      <c r="E4" s="29"/>
      <c r="F4" s="29"/>
      <c r="G4" s="29"/>
      <c r="H4" s="98"/>
      <c r="O4" s="94"/>
      <c r="P4" s="94"/>
      <c r="Q4" s="94"/>
      <c r="R4" s="94"/>
      <c r="S4" s="94"/>
      <c r="T4" s="94"/>
    </row>
    <row r="5" spans="1:20" ht="15.75">
      <c r="A5" s="29" t="s">
        <v>1128</v>
      </c>
      <c r="B5" s="29"/>
      <c r="C5" s="29"/>
      <c r="D5" s="29"/>
      <c r="E5" s="29"/>
      <c r="F5" s="29"/>
      <c r="G5" s="29"/>
      <c r="H5" s="98"/>
      <c r="O5" s="94"/>
      <c r="P5" s="94"/>
      <c r="Q5" s="94"/>
      <c r="R5" s="94"/>
      <c r="S5" s="94"/>
      <c r="T5" s="94"/>
    </row>
    <row r="6" spans="1:20" s="90" customFormat="1" ht="12.75">
      <c r="A6" s="2"/>
      <c r="B6" s="2"/>
      <c r="C6" s="2"/>
      <c r="D6" s="2"/>
      <c r="E6" s="2"/>
      <c r="F6" s="2"/>
      <c r="G6" s="2"/>
      <c r="H6" s="13"/>
      <c r="O6" s="68"/>
      <c r="P6" s="68"/>
      <c r="Q6" s="68"/>
      <c r="R6" s="68"/>
      <c r="S6" s="68"/>
      <c r="T6" s="68"/>
    </row>
    <row r="7" spans="1:20">
      <c r="A7" s="3"/>
      <c r="B7" s="4" t="s">
        <v>138</v>
      </c>
      <c r="C7" s="4"/>
      <c r="D7" s="4"/>
      <c r="E7" s="4"/>
      <c r="F7" s="4"/>
      <c r="G7" s="4"/>
      <c r="H7" s="99"/>
      <c r="O7" s="94"/>
      <c r="P7" s="94"/>
      <c r="Q7" s="94"/>
      <c r="R7" s="94"/>
      <c r="S7" s="94"/>
      <c r="T7" s="94"/>
    </row>
    <row r="8" spans="1:20" s="91" customFormat="1">
      <c r="A8" s="80"/>
      <c r="B8" s="79">
        <v>1</v>
      </c>
      <c r="C8" s="79">
        <v>2</v>
      </c>
      <c r="D8" s="79">
        <v>3</v>
      </c>
      <c r="E8" s="79">
        <v>4</v>
      </c>
      <c r="F8" s="79">
        <v>5</v>
      </c>
      <c r="G8" s="79">
        <v>6</v>
      </c>
      <c r="H8" s="100" t="s">
        <v>631</v>
      </c>
      <c r="O8" s="95"/>
      <c r="P8" s="95"/>
      <c r="Q8" s="95"/>
      <c r="R8" s="95"/>
      <c r="S8" s="95"/>
      <c r="T8" s="95"/>
    </row>
    <row r="9" spans="1:20" ht="12.75" customHeight="1">
      <c r="A9" s="5"/>
      <c r="B9" s="9"/>
      <c r="C9" s="9"/>
      <c r="D9" s="9"/>
      <c r="E9" s="9"/>
      <c r="F9" s="9"/>
      <c r="G9" s="52"/>
      <c r="H9" s="9"/>
      <c r="M9" s="92"/>
      <c r="N9" s="92"/>
      <c r="O9" s="94"/>
      <c r="P9" s="94"/>
      <c r="Q9" s="94"/>
      <c r="R9" s="94"/>
      <c r="S9" s="94"/>
      <c r="T9" s="94"/>
    </row>
    <row r="10" spans="1:20" ht="12.75" customHeight="1">
      <c r="A10" s="6" t="s">
        <v>316</v>
      </c>
      <c r="B10" s="17">
        <f>+'Summary Medians'!$C$275</f>
        <v>6446.4500000000007</v>
      </c>
      <c r="C10" s="17">
        <f>+'Summary Medians'!$C$276</f>
        <v>5529.5</v>
      </c>
      <c r="D10" s="17">
        <f>+'Summary Medians'!$C$277</f>
        <v>5410</v>
      </c>
      <c r="E10" s="17">
        <f>+'Summary Medians'!$C$278</f>
        <v>5433</v>
      </c>
      <c r="F10" s="17">
        <f>+'Summary Medians'!$C$279</f>
        <v>4600</v>
      </c>
      <c r="G10" s="17">
        <f>+'Summary Medians'!$C$280</f>
        <v>4465</v>
      </c>
      <c r="H10" s="18">
        <f>+'Summary Medians'!$C$281</f>
        <v>5389</v>
      </c>
      <c r="L10" s="6"/>
      <c r="M10" s="85"/>
      <c r="N10" s="84"/>
      <c r="O10" s="94"/>
      <c r="P10" s="94"/>
      <c r="Q10" s="94"/>
      <c r="R10" s="85"/>
      <c r="S10" s="94"/>
      <c r="T10" s="94"/>
    </row>
    <row r="11" spans="1:20" ht="12.75" customHeight="1">
      <c r="A11" s="6"/>
      <c r="B11" s="25"/>
      <c r="C11" s="25"/>
      <c r="D11" s="25"/>
      <c r="E11" s="25"/>
      <c r="F11" s="25"/>
      <c r="G11" s="474"/>
      <c r="H11" s="42"/>
      <c r="L11" s="6"/>
      <c r="M11" s="85"/>
      <c r="N11" s="84"/>
      <c r="O11" s="94"/>
      <c r="P11" s="94"/>
      <c r="Q11" s="94"/>
      <c r="R11" s="85"/>
      <c r="S11" s="94"/>
      <c r="T11" s="94"/>
    </row>
    <row r="12" spans="1:20" ht="12.75" customHeight="1">
      <c r="A12" s="2" t="s">
        <v>139</v>
      </c>
      <c r="B12" s="21">
        <f>+'Summary Medians'!$C$3</f>
        <v>6400</v>
      </c>
      <c r="C12" s="21">
        <f>+'Summary Medians'!$C$4</f>
        <v>5952</v>
      </c>
      <c r="D12" s="21">
        <f>+'Summary Medians'!$C$5</f>
        <v>5551</v>
      </c>
      <c r="E12" s="21">
        <f>+'Summary Medians'!$C$6</f>
        <v>5580</v>
      </c>
      <c r="F12" s="21">
        <f>+'Summary Medians'!$C$7</f>
        <v>5875</v>
      </c>
      <c r="G12" s="21">
        <f>+'Summary Medians'!$C$8</f>
        <v>4050</v>
      </c>
      <c r="H12" s="20">
        <f>+'Summary Medians'!$C$9</f>
        <v>5594</v>
      </c>
      <c r="L12" s="2"/>
      <c r="M12" s="85"/>
      <c r="N12" s="84"/>
      <c r="O12" s="94"/>
      <c r="P12" s="94"/>
      <c r="Q12" s="94"/>
      <c r="R12" s="85"/>
      <c r="S12" s="94"/>
      <c r="T12" s="94"/>
    </row>
    <row r="13" spans="1:20" ht="12.75" customHeight="1">
      <c r="A13" s="2" t="s">
        <v>140</v>
      </c>
      <c r="B13" s="21">
        <f>+'Summary Medians'!$C$20</f>
        <v>6399</v>
      </c>
      <c r="C13" s="21">
        <f>+'Summary Medians'!$C$21</f>
        <v>0</v>
      </c>
      <c r="D13" s="21">
        <f>+'Summary Medians'!$C$22</f>
        <v>6370</v>
      </c>
      <c r="E13" s="21">
        <f>+'Summary Medians'!$C$23</f>
        <v>5727</v>
      </c>
      <c r="F13" s="21">
        <f>+'Summary Medians'!$C$24</f>
        <v>5123</v>
      </c>
      <c r="G13" s="21">
        <f>+'Summary Medians'!$C$25</f>
        <v>4543</v>
      </c>
      <c r="H13" s="20">
        <f>+'Summary Medians'!$C$26</f>
        <v>5835</v>
      </c>
      <c r="L13" s="2"/>
      <c r="M13" s="85"/>
      <c r="N13" s="84"/>
      <c r="O13" s="94"/>
      <c r="P13" s="94"/>
      <c r="Q13" s="94"/>
      <c r="R13" s="85"/>
      <c r="S13" s="94"/>
      <c r="T13" s="94"/>
    </row>
    <row r="14" spans="1:20" ht="12.75" customHeight="1">
      <c r="A14" s="2" t="s">
        <v>211</v>
      </c>
      <c r="B14" s="21">
        <f>+'Summary Medians'!$C$37</f>
        <v>8646</v>
      </c>
      <c r="C14" s="21">
        <f>+'Summary Medians'!$C$38</f>
        <v>0</v>
      </c>
      <c r="D14" s="21">
        <f>+'Summary Medians'!$C$39</f>
        <v>0</v>
      </c>
      <c r="E14" s="21">
        <f>+'Summary Medians'!$C$40</f>
        <v>6481</v>
      </c>
      <c r="F14" s="21">
        <f>+'Summary Medians'!$C$41</f>
        <v>0</v>
      </c>
      <c r="G14" s="21">
        <f>+'Summary Medians'!$C$42</f>
        <v>0</v>
      </c>
      <c r="H14" s="20">
        <f>+'Summary Medians'!$C$43</f>
        <v>7563.5</v>
      </c>
      <c r="L14" s="2"/>
      <c r="M14" s="85"/>
      <c r="N14" s="84"/>
      <c r="O14" s="94"/>
      <c r="P14" s="94"/>
      <c r="Q14" s="94"/>
      <c r="R14" s="85"/>
      <c r="S14" s="94"/>
      <c r="T14" s="94"/>
    </row>
    <row r="15" spans="1:20" s="469" customFormat="1" ht="12.75" customHeight="1">
      <c r="A15" s="6" t="s">
        <v>141</v>
      </c>
      <c r="B15" s="19">
        <f>+'Summary Medians'!$C$54</f>
        <v>3987.3430000000003</v>
      </c>
      <c r="C15" s="19">
        <f>+'Summary Medians'!$C$55</f>
        <v>3781.7429999999999</v>
      </c>
      <c r="D15" s="19">
        <f>+'Summary Medians'!$C$56</f>
        <v>3655.143</v>
      </c>
      <c r="E15" s="19">
        <f>+'Summary Medians'!$C$57</f>
        <v>3968.6430000000005</v>
      </c>
      <c r="F15" s="19">
        <f>+'Summary Medians'!$C$58</f>
        <v>0</v>
      </c>
      <c r="G15" s="19">
        <f>+'Summary Medians'!$C$59</f>
        <v>3439.4430000000002</v>
      </c>
      <c r="H15" s="20">
        <f>+'Summary Medians'!$C$60</f>
        <v>3781.7429999999999</v>
      </c>
      <c r="L15" s="6"/>
      <c r="M15" s="85"/>
      <c r="N15" s="84"/>
      <c r="O15" s="94"/>
      <c r="P15" s="94"/>
      <c r="Q15" s="94"/>
      <c r="R15" s="85"/>
      <c r="S15" s="94"/>
      <c r="T15" s="67"/>
    </row>
    <row r="16" spans="1:20" s="469" customFormat="1" ht="12.75" customHeight="1">
      <c r="A16" s="6"/>
      <c r="B16" s="19"/>
      <c r="C16" s="19"/>
      <c r="D16" s="19"/>
      <c r="E16" s="19"/>
      <c r="F16" s="19"/>
      <c r="G16" s="19"/>
      <c r="H16" s="20"/>
      <c r="L16" s="6"/>
      <c r="M16" s="85"/>
      <c r="N16" s="84"/>
      <c r="O16" s="94"/>
      <c r="P16" s="94"/>
      <c r="Q16" s="94"/>
      <c r="R16" s="85"/>
      <c r="S16" s="94"/>
      <c r="T16" s="67"/>
    </row>
    <row r="17" spans="1:20" ht="12.75" customHeight="1">
      <c r="A17" s="6" t="s">
        <v>142</v>
      </c>
      <c r="B17" s="19">
        <f>+'Summary Medians'!$C$71</f>
        <v>6043</v>
      </c>
      <c r="C17" s="19">
        <f>+'Summary Medians'!$C$72</f>
        <v>6040</v>
      </c>
      <c r="D17" s="19">
        <f>+'Summary Medians'!$C$73</f>
        <v>4348</v>
      </c>
      <c r="E17" s="19">
        <f>+'Summary Medians'!$C$74</f>
        <v>3876</v>
      </c>
      <c r="F17" s="19">
        <f>+'Summary Medians'!$C$75</f>
        <v>3836</v>
      </c>
      <c r="G17" s="19">
        <f>+'Summary Medians'!$C$76</f>
        <v>3017</v>
      </c>
      <c r="H17" s="20">
        <f>+'Summary Medians'!$C$77</f>
        <v>4032</v>
      </c>
      <c r="L17" s="6"/>
      <c r="M17" s="85"/>
      <c r="N17" s="84"/>
      <c r="O17" s="94"/>
      <c r="P17" s="94"/>
      <c r="Q17" s="94"/>
      <c r="R17" s="85"/>
      <c r="S17" s="94"/>
      <c r="T17" s="94"/>
    </row>
    <row r="18" spans="1:20" ht="12.75" customHeight="1">
      <c r="A18" s="2" t="s">
        <v>143</v>
      </c>
      <c r="B18" s="19">
        <f>+'Summary Medians'!$C$88</f>
        <v>7706</v>
      </c>
      <c r="C18" s="21">
        <f>+'Summary Medians'!$C$89</f>
        <v>0</v>
      </c>
      <c r="D18" s="21">
        <f>+'Summary Medians'!$C$90</f>
        <v>6080</v>
      </c>
      <c r="E18" s="21">
        <f>+'Summary Medians'!$C$91</f>
        <v>6099</v>
      </c>
      <c r="F18" s="21">
        <f>+'Summary Medians'!$C$92</f>
        <v>5692</v>
      </c>
      <c r="G18" s="21">
        <f>+'Summary Medians'!$C$93</f>
        <v>0</v>
      </c>
      <c r="H18" s="20">
        <f>+'Summary Medians'!$C$94</f>
        <v>6304</v>
      </c>
      <c r="L18" s="2"/>
      <c r="M18" s="85"/>
      <c r="N18" s="84"/>
      <c r="O18" s="94"/>
      <c r="P18" s="94"/>
      <c r="Q18" s="94"/>
      <c r="R18" s="85"/>
      <c r="S18" s="94"/>
      <c r="T18" s="94"/>
    </row>
    <row r="19" spans="1:20" ht="12.75" customHeight="1">
      <c r="A19" s="2" t="s">
        <v>144</v>
      </c>
      <c r="B19" s="19">
        <f>+'Summary Medians'!$C$105</f>
        <v>5086.3999999999996</v>
      </c>
      <c r="C19" s="19">
        <f>+'Summary Medians'!$C$106</f>
        <v>4306</v>
      </c>
      <c r="D19" s="19">
        <f>+'Summary Medians'!$C$107</f>
        <v>3811.9</v>
      </c>
      <c r="E19" s="19">
        <f>+'Summary Medians'!$C$108</f>
        <v>3667.98</v>
      </c>
      <c r="F19" s="19">
        <f>+'Summary Medians'!$C$109</f>
        <v>0</v>
      </c>
      <c r="G19" s="19">
        <f>+'Summary Medians'!$C$110</f>
        <v>0</v>
      </c>
      <c r="H19" s="20">
        <f>+'Summary Medians'!$C$111</f>
        <v>3771</v>
      </c>
      <c r="L19" s="2"/>
      <c r="M19" s="85"/>
      <c r="N19" s="84"/>
      <c r="O19" s="94"/>
      <c r="P19" s="94"/>
      <c r="Q19" s="94"/>
      <c r="R19" s="85"/>
      <c r="S19" s="94"/>
      <c r="T19" s="94"/>
    </row>
    <row r="20" spans="1:20" ht="12.75" customHeight="1">
      <c r="A20" s="6" t="s">
        <v>145</v>
      </c>
      <c r="B20" s="19">
        <f>+'Summary Medians'!$C$122</f>
        <v>8005</v>
      </c>
      <c r="C20" s="19">
        <f>+'Summary Medians'!$C$123</f>
        <v>8780</v>
      </c>
      <c r="D20" s="19">
        <f>+'Summary Medians'!$C$124</f>
        <v>6876</v>
      </c>
      <c r="E20" s="19">
        <f>+'Summary Medians'!$C$125</f>
        <v>6267</v>
      </c>
      <c r="F20" s="19">
        <f>+'Summary Medians'!$C$126</f>
        <v>0</v>
      </c>
      <c r="G20" s="19">
        <f>+'Summary Medians'!$C$127</f>
        <v>12604</v>
      </c>
      <c r="H20" s="20">
        <f>+'Summary Medians'!$C$128</f>
        <v>6614</v>
      </c>
      <c r="L20" s="6"/>
      <c r="M20" s="85"/>
      <c r="N20" s="84"/>
      <c r="O20" s="94"/>
      <c r="P20" s="94"/>
      <c r="Q20" s="94"/>
      <c r="R20" s="85"/>
      <c r="S20" s="94"/>
      <c r="T20" s="94"/>
    </row>
    <row r="21" spans="1:20" ht="12.75" customHeight="1">
      <c r="A21" s="6"/>
      <c r="B21" s="19"/>
      <c r="C21" s="19"/>
      <c r="D21" s="19"/>
      <c r="E21" s="19"/>
      <c r="F21" s="19"/>
      <c r="G21" s="19"/>
      <c r="H21" s="20"/>
      <c r="L21" s="6"/>
      <c r="M21" s="85"/>
      <c r="N21" s="84"/>
      <c r="O21" s="94"/>
      <c r="P21" s="94"/>
      <c r="Q21" s="94"/>
      <c r="R21" s="85"/>
      <c r="S21" s="94"/>
      <c r="T21" s="94"/>
    </row>
    <row r="22" spans="1:20" ht="12.75" customHeight="1">
      <c r="A22" s="2" t="s">
        <v>146</v>
      </c>
      <c r="B22" s="21">
        <f>+'Summary Medians'!$C$139</f>
        <v>5123.5</v>
      </c>
      <c r="C22" s="21">
        <f>+'Summary Medians'!$C$140</f>
        <v>4870.5</v>
      </c>
      <c r="D22" s="21">
        <f>+'Summary Medians'!$C$141</f>
        <v>0</v>
      </c>
      <c r="E22" s="21">
        <f>+'Summary Medians'!$C$142</f>
        <v>4498</v>
      </c>
      <c r="F22" s="21">
        <f>+'Summary Medians'!$C$143</f>
        <v>4423</v>
      </c>
      <c r="G22" s="21">
        <f>+'Summary Medians'!$C$144</f>
        <v>0</v>
      </c>
      <c r="H22" s="20">
        <f>+'Summary Medians'!$C$145</f>
        <v>4604.5</v>
      </c>
      <c r="L22" s="2"/>
      <c r="M22" s="85"/>
      <c r="N22" s="84"/>
      <c r="O22" s="94"/>
      <c r="P22" s="94"/>
      <c r="Q22" s="94"/>
      <c r="R22" s="85"/>
      <c r="S22" s="94"/>
      <c r="T22" s="94"/>
    </row>
    <row r="23" spans="1:20" ht="12.75" customHeight="1">
      <c r="A23" s="2" t="s">
        <v>147</v>
      </c>
      <c r="B23" s="21">
        <f>+'Summary Medians'!$C$156</f>
        <v>5335.5</v>
      </c>
      <c r="C23" s="21">
        <f>+'Summary Medians'!$C$157</f>
        <v>4215</v>
      </c>
      <c r="D23" s="21">
        <f>+'Summary Medians'!$C$158</f>
        <v>4191</v>
      </c>
      <c r="E23" s="21">
        <f>+'Summary Medians'!$C$159</f>
        <v>3044</v>
      </c>
      <c r="F23" s="21">
        <f>+'Summary Medians'!$C$160</f>
        <v>3498.5</v>
      </c>
      <c r="G23" s="21">
        <f>+'Summary Medians'!$C$161</f>
        <v>3548</v>
      </c>
      <c r="H23" s="20">
        <f>+'Summary Medians'!$C$162</f>
        <v>4174</v>
      </c>
      <c r="L23" s="2"/>
      <c r="M23" s="85"/>
      <c r="N23" s="84"/>
      <c r="O23" s="94"/>
      <c r="P23" s="94"/>
      <c r="Q23" s="94"/>
      <c r="R23" s="85"/>
      <c r="S23" s="94"/>
      <c r="T23" s="94"/>
    </row>
    <row r="24" spans="1:20" ht="12.75" customHeight="1">
      <c r="A24" s="2" t="s">
        <v>148</v>
      </c>
      <c r="B24" s="21">
        <f>+'Summary Medians'!$C$173</f>
        <v>6346.9500000000007</v>
      </c>
      <c r="C24" s="21">
        <f>+'Summary Medians'!$C$174</f>
        <v>0</v>
      </c>
      <c r="D24" s="21">
        <f>+'Summary Medians'!$C$175</f>
        <v>4188.75</v>
      </c>
      <c r="E24" s="21">
        <f>+'Summary Medians'!$C$176</f>
        <v>0</v>
      </c>
      <c r="F24" s="21">
        <f>+'Summary Medians'!$C$177</f>
        <v>4110</v>
      </c>
      <c r="G24" s="21">
        <f>+'Summary Medians'!$C$178</f>
        <v>4276.5</v>
      </c>
      <c r="H24" s="20">
        <f>+'Summary Medians'!$C$179</f>
        <v>4221</v>
      </c>
      <c r="L24" s="2"/>
      <c r="M24" s="85"/>
      <c r="N24" s="84"/>
      <c r="O24" s="94"/>
      <c r="P24" s="94"/>
      <c r="Q24" s="94"/>
      <c r="R24" s="85"/>
      <c r="S24" s="94"/>
      <c r="T24" s="94"/>
    </row>
    <row r="25" spans="1:20" ht="12.75" customHeight="1">
      <c r="A25" s="2" t="s">
        <v>149</v>
      </c>
      <c r="B25" s="21">
        <f>+'Summary Medians'!$C$190</f>
        <v>9608</v>
      </c>
      <c r="C25" s="21">
        <f>+'Summary Medians'!$C$191</f>
        <v>0</v>
      </c>
      <c r="D25" s="21">
        <f>+'Summary Medians'!$C$192</f>
        <v>9780</v>
      </c>
      <c r="E25" s="21">
        <f>+'Summary Medians'!$C$193</f>
        <v>8428</v>
      </c>
      <c r="F25" s="21">
        <f>+'Summary Medians'!$C$194</f>
        <v>7806</v>
      </c>
      <c r="G25" s="21">
        <f>+'Summary Medians'!$C$195</f>
        <v>8342</v>
      </c>
      <c r="H25" s="20">
        <f>+'Summary Medians'!$C$196</f>
        <v>8400</v>
      </c>
      <c r="L25" s="2"/>
      <c r="M25" s="85"/>
      <c r="N25" s="84"/>
      <c r="O25" s="94"/>
      <c r="P25" s="94"/>
      <c r="Q25" s="94"/>
      <c r="R25" s="85"/>
      <c r="S25" s="94"/>
      <c r="T25" s="94"/>
    </row>
    <row r="26" spans="1:20" ht="12.75" customHeight="1">
      <c r="A26" s="2"/>
      <c r="B26" s="21"/>
      <c r="C26" s="21"/>
      <c r="D26" s="21"/>
      <c r="E26" s="21"/>
      <c r="F26" s="21"/>
      <c r="G26" s="21"/>
      <c r="H26" s="20"/>
      <c r="L26" s="2"/>
      <c r="M26" s="85"/>
      <c r="N26" s="84"/>
      <c r="O26" s="94"/>
      <c r="P26" s="94"/>
      <c r="Q26" s="94"/>
      <c r="R26" s="85"/>
      <c r="S26" s="94"/>
      <c r="T26" s="94"/>
    </row>
    <row r="27" spans="1:20" ht="12.75" customHeight="1">
      <c r="A27" s="2" t="s">
        <v>150</v>
      </c>
      <c r="B27" s="21">
        <f>+'Summary Medians'!$C$207</f>
        <v>6189</v>
      </c>
      <c r="C27" s="21">
        <f>+'Summary Medians'!$C$208</f>
        <v>0</v>
      </c>
      <c r="D27" s="21">
        <f>+'Summary Medians'!$C$209</f>
        <v>5244</v>
      </c>
      <c r="E27" s="21">
        <f>+'Summary Medians'!$C$210</f>
        <v>5526</v>
      </c>
      <c r="F27" s="21">
        <f>+'Summary Medians'!$C$211</f>
        <v>5255</v>
      </c>
      <c r="G27" s="21">
        <f>+'Summary Medians'!$C$212</f>
        <v>0</v>
      </c>
      <c r="H27" s="20">
        <f>+'Summary Medians'!$C$213</f>
        <v>5310</v>
      </c>
      <c r="L27" s="2"/>
      <c r="M27" s="85"/>
      <c r="N27" s="84"/>
      <c r="O27" s="94"/>
      <c r="P27" s="94"/>
      <c r="Q27" s="94"/>
      <c r="R27" s="85"/>
      <c r="S27" s="94"/>
      <c r="T27" s="94"/>
    </row>
    <row r="28" spans="1:20" s="469" customFormat="1" ht="12.75" customHeight="1">
      <c r="A28" s="6" t="s">
        <v>328</v>
      </c>
      <c r="B28" s="19">
        <f>+'Summary Medians'!$C$224</f>
        <v>7962</v>
      </c>
      <c r="C28" s="19">
        <f>+'Summary Medians'!$C$225</f>
        <v>6308</v>
      </c>
      <c r="D28" s="19">
        <f>+'Summary Medians'!$C$226</f>
        <v>5853</v>
      </c>
      <c r="E28" s="19">
        <f>+'Summary Medians'!$C$227</f>
        <v>5375</v>
      </c>
      <c r="F28" s="19">
        <f>+'Summary Medians'!$C$228</f>
        <v>5050</v>
      </c>
      <c r="G28" s="19">
        <f>+'Summary Medians'!$C$229</f>
        <v>6870</v>
      </c>
      <c r="H28" s="20">
        <f>+'Summary Medians'!$C$230</f>
        <v>5988</v>
      </c>
      <c r="L28" s="6"/>
      <c r="M28" s="42"/>
      <c r="N28" s="123"/>
      <c r="O28" s="94"/>
      <c r="P28" s="94"/>
      <c r="Q28" s="94"/>
      <c r="R28" s="67"/>
      <c r="S28" s="67"/>
      <c r="T28" s="67"/>
    </row>
    <row r="29" spans="1:20" ht="12.75" customHeight="1">
      <c r="A29" s="2" t="s">
        <v>152</v>
      </c>
      <c r="B29" s="21">
        <f>+'Summary Medians'!$C$241</f>
        <v>7855</v>
      </c>
      <c r="C29" s="21">
        <f>+'Summary Medians'!$C$242</f>
        <v>6918</v>
      </c>
      <c r="D29" s="21">
        <f>+'Summary Medians'!$C$243</f>
        <v>6750</v>
      </c>
      <c r="E29" s="21">
        <f>+'Summary Medians'!$C$244</f>
        <v>5903</v>
      </c>
      <c r="F29" s="21">
        <f>+'Summary Medians'!$C$245</f>
        <v>7636.5</v>
      </c>
      <c r="G29" s="21">
        <f>+'Summary Medians'!$C$246</f>
        <v>6439</v>
      </c>
      <c r="H29" s="20">
        <f>+'Summary Medians'!$C$247</f>
        <v>6941</v>
      </c>
      <c r="L29" s="2"/>
      <c r="M29" s="85"/>
      <c r="N29" s="84"/>
      <c r="O29" s="94"/>
      <c r="P29" s="94"/>
      <c r="Q29" s="94"/>
      <c r="R29" s="94"/>
      <c r="S29" s="94"/>
      <c r="T29" s="94"/>
    </row>
    <row r="30" spans="1:20" ht="12.75" customHeight="1">
      <c r="A30" s="8" t="s">
        <v>153</v>
      </c>
      <c r="B30" s="23">
        <f>+'Summary Medians'!$C$258</f>
        <v>5100</v>
      </c>
      <c r="C30" s="23">
        <f>+'Summary Medians'!$C$259</f>
        <v>0</v>
      </c>
      <c r="D30" s="23">
        <f>+'Summary Medians'!$C$260</f>
        <v>4898</v>
      </c>
      <c r="E30" s="23">
        <f>+'Summary Medians'!$C$261</f>
        <v>0</v>
      </c>
      <c r="F30" s="23">
        <f>+'Summary Medians'!$C$262</f>
        <v>4804</v>
      </c>
      <c r="G30" s="23">
        <f>+'Summary Medians'!$C$263</f>
        <v>4486</v>
      </c>
      <c r="H30" s="24">
        <f>+'Summary Medians'!$C$264</f>
        <v>4691</v>
      </c>
      <c r="L30" s="5"/>
      <c r="M30" s="85"/>
      <c r="N30" s="84"/>
      <c r="O30" s="94"/>
      <c r="P30" s="94"/>
      <c r="Q30" s="94"/>
      <c r="R30" s="94"/>
      <c r="S30" s="94"/>
      <c r="T30" s="94"/>
    </row>
    <row r="31" spans="1:20" ht="6.75" customHeight="1">
      <c r="A31" s="5"/>
      <c r="B31" s="9"/>
      <c r="C31" s="9"/>
      <c r="D31" s="9"/>
      <c r="E31" s="9"/>
      <c r="F31" s="9"/>
      <c r="G31" s="9"/>
      <c r="H31" s="9"/>
      <c r="O31" s="94"/>
      <c r="P31" s="94"/>
      <c r="Q31" s="94"/>
      <c r="R31" s="94"/>
      <c r="S31" s="94"/>
      <c r="T31" s="94"/>
    </row>
    <row r="32" spans="1:20" ht="37.5" customHeight="1">
      <c r="A32" s="563" t="s">
        <v>156</v>
      </c>
      <c r="B32" s="563"/>
      <c r="C32" s="563"/>
      <c r="D32" s="563"/>
      <c r="E32" s="563"/>
      <c r="F32" s="563"/>
      <c r="G32" s="563"/>
      <c r="H32" s="563"/>
      <c r="O32" s="94"/>
      <c r="P32" s="94"/>
      <c r="Q32" s="94"/>
      <c r="R32" s="94"/>
      <c r="S32" s="94"/>
      <c r="T32" s="94"/>
    </row>
    <row r="33" spans="1:20" ht="12.75" customHeight="1">
      <c r="A33" s="470"/>
      <c r="B33" s="470"/>
      <c r="C33" s="470"/>
      <c r="D33" s="470"/>
      <c r="E33" s="470"/>
      <c r="F33" s="470"/>
      <c r="G33" s="470"/>
      <c r="H33" s="102"/>
      <c r="O33" s="94"/>
      <c r="P33" s="94"/>
      <c r="Q33" s="94"/>
      <c r="R33" s="94"/>
      <c r="S33" s="94"/>
      <c r="T33" s="94"/>
    </row>
    <row r="34" spans="1:20">
      <c r="H34" s="129" t="s">
        <v>1116</v>
      </c>
    </row>
    <row r="35" spans="1:20" ht="18">
      <c r="A35" s="564" t="s">
        <v>552</v>
      </c>
      <c r="B35" s="564"/>
      <c r="C35" s="564"/>
      <c r="D35" s="564"/>
      <c r="E35" s="564"/>
      <c r="F35" s="564"/>
      <c r="G35" s="564"/>
      <c r="H35" s="564"/>
      <c r="I35" s="564"/>
      <c r="J35" s="564"/>
    </row>
    <row r="36" spans="1:20">
      <c r="A36" s="72"/>
      <c r="B36" s="72"/>
      <c r="C36" s="72"/>
      <c r="D36" s="72"/>
      <c r="E36" s="72"/>
      <c r="F36" s="72"/>
      <c r="G36" s="72"/>
      <c r="H36" s="72"/>
      <c r="I36" s="72"/>
      <c r="J36" s="103"/>
      <c r="K36" s="90"/>
      <c r="L36" s="90"/>
      <c r="M36" s="90"/>
      <c r="N36" s="90"/>
      <c r="O36" s="90"/>
      <c r="P36" s="90"/>
      <c r="Q36" s="90"/>
      <c r="R36" s="90"/>
      <c r="S36" s="90"/>
    </row>
    <row r="37" spans="1:20" ht="15.75">
      <c r="A37" s="565" t="s">
        <v>136</v>
      </c>
      <c r="B37" s="565"/>
      <c r="C37" s="565"/>
      <c r="D37" s="565"/>
      <c r="E37" s="565"/>
      <c r="F37" s="565"/>
      <c r="G37" s="565"/>
      <c r="H37" s="565"/>
      <c r="I37" s="565"/>
      <c r="J37" s="565"/>
    </row>
    <row r="38" spans="1:20" ht="15.75">
      <c r="A38" s="565" t="s">
        <v>137</v>
      </c>
      <c r="B38" s="565"/>
      <c r="C38" s="565"/>
      <c r="D38" s="565"/>
      <c r="E38" s="565"/>
      <c r="F38" s="565"/>
      <c r="G38" s="565"/>
      <c r="H38" s="565"/>
      <c r="I38" s="565"/>
      <c r="J38" s="565"/>
    </row>
    <row r="39" spans="1:20" ht="15.75">
      <c r="A39" s="565" t="s">
        <v>1130</v>
      </c>
      <c r="B39" s="565"/>
      <c r="C39" s="565"/>
      <c r="D39" s="565"/>
      <c r="E39" s="565"/>
      <c r="F39" s="565"/>
      <c r="G39" s="565"/>
      <c r="H39" s="565"/>
      <c r="I39" s="565"/>
      <c r="J39" s="565"/>
    </row>
    <row r="40" spans="1:20">
      <c r="A40" s="2"/>
      <c r="B40" s="2"/>
      <c r="C40" s="2"/>
      <c r="D40" s="2"/>
      <c r="E40" s="2"/>
      <c r="F40" s="2"/>
      <c r="G40" s="2"/>
      <c r="H40" s="2"/>
      <c r="I40" s="2"/>
      <c r="J40" s="6"/>
      <c r="K40" s="90"/>
      <c r="L40" s="90"/>
      <c r="M40" s="90"/>
      <c r="N40" s="90"/>
      <c r="O40" s="90"/>
      <c r="P40" s="90"/>
      <c r="Q40" s="90"/>
      <c r="R40" s="90"/>
      <c r="S40" s="90"/>
    </row>
    <row r="41" spans="1:20">
      <c r="A41" s="3"/>
      <c r="B41" s="4" t="s">
        <v>548</v>
      </c>
      <c r="C41" s="4"/>
      <c r="D41" s="4"/>
      <c r="E41" s="4"/>
      <c r="F41" s="44"/>
      <c r="G41" s="43" t="s">
        <v>228</v>
      </c>
      <c r="H41" s="4"/>
      <c r="I41" s="4"/>
      <c r="J41" s="104"/>
      <c r="L41" s="93"/>
      <c r="M41" s="93"/>
      <c r="N41" s="93"/>
      <c r="O41" s="93"/>
      <c r="P41" s="93"/>
      <c r="Q41" s="93"/>
      <c r="R41" s="93"/>
      <c r="S41" s="93"/>
    </row>
    <row r="42" spans="1:20" ht="36">
      <c r="A42" s="80"/>
      <c r="B42" s="65" t="s">
        <v>302</v>
      </c>
      <c r="C42" s="79">
        <v>1</v>
      </c>
      <c r="D42" s="79">
        <v>2</v>
      </c>
      <c r="E42" s="79">
        <v>3</v>
      </c>
      <c r="F42" s="81" t="s">
        <v>631</v>
      </c>
      <c r="G42" s="79">
        <v>1</v>
      </c>
      <c r="H42" s="79">
        <v>2</v>
      </c>
      <c r="I42" s="45" t="s">
        <v>223</v>
      </c>
      <c r="J42" s="100" t="s">
        <v>631</v>
      </c>
      <c r="K42" s="91"/>
      <c r="L42" s="92"/>
      <c r="M42" s="92"/>
      <c r="N42" s="92"/>
      <c r="O42" s="92"/>
      <c r="P42" s="92"/>
      <c r="Q42" s="92"/>
      <c r="R42" s="92"/>
      <c r="S42" s="92"/>
    </row>
    <row r="43" spans="1:20">
      <c r="A43" s="5"/>
      <c r="B43" s="9"/>
      <c r="C43" s="9"/>
      <c r="D43" s="9"/>
      <c r="E43" s="52"/>
      <c r="F43" s="53"/>
      <c r="G43" s="55"/>
      <c r="H43" s="56"/>
      <c r="I43" s="57"/>
      <c r="J43" s="56"/>
      <c r="L43" s="93"/>
      <c r="M43" s="93"/>
      <c r="N43" s="93"/>
      <c r="O43" s="93"/>
      <c r="P43" s="93"/>
      <c r="Q43" s="93"/>
      <c r="R43" s="93"/>
      <c r="S43" s="93"/>
    </row>
    <row r="44" spans="1:20">
      <c r="A44" s="6" t="s">
        <v>316</v>
      </c>
      <c r="B44" s="17">
        <f>'Summary Medians'!C282</f>
        <v>2333.1</v>
      </c>
      <c r="C44" s="17">
        <f>'Summary Medians'!C283</f>
        <v>2177.25</v>
      </c>
      <c r="D44" s="17">
        <f>'Summary Medians'!C284</f>
        <v>2314.8000000000002</v>
      </c>
      <c r="E44" s="17">
        <f>'Summary Medians'!C285</f>
        <v>2520</v>
      </c>
      <c r="F44" s="31">
        <f>+'Summary Medians'!$C$286</f>
        <v>2316.4</v>
      </c>
      <c r="G44" s="18">
        <f>+'Summary Medians'!$C$287</f>
        <v>1545</v>
      </c>
      <c r="H44" s="41">
        <f>+'Summary Medians'!$C$288</f>
        <v>1817.5</v>
      </c>
      <c r="I44" s="54">
        <f>+'Summary Medians'!$C$289</f>
        <v>804</v>
      </c>
      <c r="J44" s="18">
        <f>+'Summary Medians'!$C$290</f>
        <v>1539</v>
      </c>
      <c r="L44" s="84"/>
      <c r="M44" s="85"/>
      <c r="N44" s="6"/>
      <c r="O44" s="85"/>
      <c r="P44" s="6"/>
      <c r="Q44" s="84"/>
      <c r="R44" s="85"/>
      <c r="S44" s="6"/>
    </row>
    <row r="45" spans="1:20">
      <c r="A45" s="6"/>
      <c r="B45" s="25"/>
      <c r="C45" s="25"/>
      <c r="D45" s="25"/>
      <c r="E45" s="25"/>
      <c r="F45" s="32"/>
      <c r="G45" s="20"/>
      <c r="H45" s="42"/>
      <c r="I45" s="47"/>
      <c r="J45" s="20"/>
      <c r="L45" s="84"/>
      <c r="M45" s="85"/>
      <c r="N45" s="6"/>
      <c r="O45" s="85"/>
      <c r="P45" s="6"/>
      <c r="Q45" s="84"/>
      <c r="R45" s="85"/>
      <c r="S45" s="6"/>
    </row>
    <row r="46" spans="1:20">
      <c r="A46" s="2" t="s">
        <v>139</v>
      </c>
      <c r="B46" s="21">
        <f>'Summary Medians'!C10</f>
        <v>0</v>
      </c>
      <c r="C46" s="21">
        <f>'Summary Medians'!C11</f>
        <v>2955</v>
      </c>
      <c r="D46" s="21">
        <f>'Summary Medians'!C12</f>
        <v>2700</v>
      </c>
      <c r="E46" s="21">
        <f>'Summary Medians'!C13</f>
        <v>2700</v>
      </c>
      <c r="F46" s="33">
        <f>+'Summary Medians'!$C$14</f>
        <v>2700</v>
      </c>
      <c r="G46" s="22">
        <f>+'Summary Medians'!$C$15</f>
        <v>2700</v>
      </c>
      <c r="H46" s="25">
        <f>+'Summary Medians'!$C$16</f>
        <v>2700</v>
      </c>
      <c r="I46" s="46">
        <f>+'Summary Medians'!$C$17</f>
        <v>0</v>
      </c>
      <c r="J46" s="20">
        <f>+'Summary Medians'!$C$18</f>
        <v>2700</v>
      </c>
      <c r="L46" s="84"/>
      <c r="M46" s="85"/>
      <c r="N46" s="2"/>
      <c r="O46" s="85"/>
      <c r="P46" s="2"/>
      <c r="Q46" s="84"/>
      <c r="R46" s="85"/>
      <c r="S46" s="2"/>
    </row>
    <row r="47" spans="1:20">
      <c r="A47" s="2" t="s">
        <v>140</v>
      </c>
      <c r="B47" s="21">
        <f>'Summary Medians'!C27</f>
        <v>0</v>
      </c>
      <c r="C47" s="21">
        <f>'Summary Medians'!C28</f>
        <v>2660</v>
      </c>
      <c r="D47" s="21">
        <f>'Summary Medians'!C29</f>
        <v>2540</v>
      </c>
      <c r="E47" s="21">
        <f>'Summary Medians'!C30</f>
        <v>2130</v>
      </c>
      <c r="F47" s="33">
        <f>+'Summary Medians'!$C$31</f>
        <v>2152.5</v>
      </c>
      <c r="G47" s="22">
        <f>+'Summary Medians'!$C$32</f>
        <v>0</v>
      </c>
      <c r="H47" s="25">
        <f>+'Summary Medians'!$C$33</f>
        <v>0</v>
      </c>
      <c r="I47" s="46">
        <f>+'Summary Medians'!$C$34</f>
        <v>0</v>
      </c>
      <c r="J47" s="20">
        <f>+'Summary Medians'!$C$35</f>
        <v>0</v>
      </c>
      <c r="L47" s="84"/>
      <c r="M47" s="85"/>
      <c r="N47" s="2"/>
      <c r="O47" s="85"/>
      <c r="P47" s="2"/>
      <c r="Q47" s="84"/>
      <c r="R47" s="85"/>
      <c r="S47" s="2"/>
    </row>
    <row r="48" spans="1:20">
      <c r="A48" s="2" t="s">
        <v>211</v>
      </c>
      <c r="B48" s="21">
        <f>'Summary Medians'!C44</f>
        <v>0</v>
      </c>
      <c r="C48" s="21">
        <f>'Summary Medians'!C45</f>
        <v>0</v>
      </c>
      <c r="D48" s="21">
        <f>'Summary Medians'!C46</f>
        <v>2684</v>
      </c>
      <c r="E48" s="21">
        <f>'Summary Medians'!C47</f>
        <v>2684</v>
      </c>
      <c r="F48" s="33">
        <f>+'Summary Medians'!$C$48</f>
        <v>2684</v>
      </c>
      <c r="G48" s="22">
        <f>+'Summary Medians'!$C$49</f>
        <v>0</v>
      </c>
      <c r="H48" s="25">
        <f>+'Summary Medians'!$C$50</f>
        <v>0</v>
      </c>
      <c r="I48" s="46">
        <f>+'Summary Medians'!$C$51</f>
        <v>0</v>
      </c>
      <c r="J48" s="20">
        <f>+'Summary Medians'!$C$52</f>
        <v>0</v>
      </c>
      <c r="L48" s="84"/>
      <c r="M48" s="85"/>
      <c r="N48" s="2"/>
      <c r="O48" s="85"/>
      <c r="P48" s="2"/>
      <c r="Q48" s="84"/>
      <c r="R48" s="85"/>
      <c r="S48" s="2"/>
    </row>
    <row r="49" spans="1:19">
      <c r="A49" s="6" t="s">
        <v>141</v>
      </c>
      <c r="B49" s="19">
        <f>'Summary Medians'!C61</f>
        <v>2326.1999999999998</v>
      </c>
      <c r="C49" s="19">
        <f>'Summary Medians'!C62</f>
        <v>2245.1999999999998</v>
      </c>
      <c r="D49" s="19">
        <f>'Summary Medians'!C63</f>
        <v>2298</v>
      </c>
      <c r="E49" s="19">
        <f>'Summary Medians'!C64</f>
        <v>2287.35</v>
      </c>
      <c r="F49" s="32">
        <f>+'Summary Medians'!$C$65</f>
        <v>2265</v>
      </c>
      <c r="G49" s="20">
        <f>+'Summary Medians'!$C$66</f>
        <v>0</v>
      </c>
      <c r="H49" s="42">
        <f>+'Summary Medians'!$C$67</f>
        <v>0</v>
      </c>
      <c r="I49" s="47">
        <f>+'Summary Medians'!$C$68</f>
        <v>0</v>
      </c>
      <c r="J49" s="20">
        <f>+'Summary Medians'!$C$69</f>
        <v>0</v>
      </c>
      <c r="L49" s="84"/>
      <c r="M49" s="85"/>
      <c r="N49" s="6"/>
      <c r="O49" s="85"/>
      <c r="P49" s="6"/>
      <c r="Q49" s="84"/>
      <c r="R49" s="85"/>
      <c r="S49" s="6"/>
    </row>
    <row r="50" spans="1:19">
      <c r="A50" s="6"/>
      <c r="B50" s="19"/>
      <c r="C50" s="19"/>
      <c r="D50" s="19"/>
      <c r="E50" s="19"/>
      <c r="F50" s="32"/>
      <c r="G50" s="20"/>
      <c r="H50" s="42"/>
      <c r="I50" s="47"/>
      <c r="J50" s="20"/>
      <c r="L50" s="84"/>
      <c r="M50" s="85"/>
      <c r="N50" s="6"/>
      <c r="O50" s="85"/>
      <c r="P50" s="6"/>
      <c r="Q50" s="84"/>
      <c r="R50" s="85"/>
      <c r="S50" s="6"/>
    </row>
    <row r="51" spans="1:19">
      <c r="A51" s="6" t="s">
        <v>142</v>
      </c>
      <c r="B51" s="19">
        <f>'Summary Medians'!C78</f>
        <v>2340</v>
      </c>
      <c r="C51" s="19">
        <f>'Summary Medians'!C79</f>
        <v>2322</v>
      </c>
      <c r="D51" s="19">
        <f>'Summary Medians'!C80</f>
        <v>2344</v>
      </c>
      <c r="E51" s="19">
        <f>'Summary Medians'!C81</f>
        <v>2079</v>
      </c>
      <c r="F51" s="32">
        <f>+'Summary Medians'!$C$82</f>
        <v>2303</v>
      </c>
      <c r="G51" s="20">
        <f>+'Summary Medians'!$C$83</f>
        <v>1543.5</v>
      </c>
      <c r="H51" s="42">
        <f>+'Summary Medians'!$C$84</f>
        <v>1539</v>
      </c>
      <c r="I51" s="47">
        <f>+'Summary Medians'!$C$85</f>
        <v>0</v>
      </c>
      <c r="J51" s="20">
        <f>+'Summary Medians'!$C$86</f>
        <v>1539</v>
      </c>
      <c r="L51" s="84"/>
      <c r="M51" s="85"/>
      <c r="N51" s="6"/>
      <c r="O51" s="85"/>
      <c r="P51" s="6"/>
      <c r="Q51" s="84"/>
      <c r="R51" s="85"/>
      <c r="S51" s="6"/>
    </row>
    <row r="52" spans="1:19">
      <c r="A52" s="2" t="s">
        <v>143</v>
      </c>
      <c r="B52" s="21">
        <f>'Summary Medians'!C95</f>
        <v>0</v>
      </c>
      <c r="C52" s="21">
        <f>'Summary Medians'!C96</f>
        <v>3630</v>
      </c>
      <c r="D52" s="21">
        <f>'Summary Medians'!C97</f>
        <v>3630</v>
      </c>
      <c r="E52" s="21">
        <f>'Summary Medians'!C98</f>
        <v>3630</v>
      </c>
      <c r="F52" s="33">
        <f>+'Summary Medians'!$C$99</f>
        <v>3630</v>
      </c>
      <c r="G52" s="22">
        <f>+'Summary Medians'!$C$100</f>
        <v>3630</v>
      </c>
      <c r="H52" s="25">
        <f>+'Summary Medians'!$C$101</f>
        <v>0</v>
      </c>
      <c r="I52" s="46">
        <f>+'Summary Medians'!$C$103</f>
        <v>3630</v>
      </c>
      <c r="J52" s="20">
        <f>+'Summary Medians'!$C$103</f>
        <v>3630</v>
      </c>
      <c r="L52" s="84"/>
      <c r="M52" s="85"/>
      <c r="N52" s="2"/>
      <c r="O52" s="85"/>
      <c r="P52" s="2"/>
      <c r="Q52" s="84"/>
      <c r="R52" s="85"/>
      <c r="S52" s="2"/>
    </row>
    <row r="53" spans="1:19">
      <c r="A53" s="2" t="s">
        <v>144</v>
      </c>
      <c r="B53" s="19">
        <f>'Summary Medians'!C112</f>
        <v>3401.5</v>
      </c>
      <c r="C53" s="19">
        <f>'Summary Medians'!C113</f>
        <v>2002</v>
      </c>
      <c r="D53" s="19">
        <f>'Summary Medians'!C114</f>
        <v>1854</v>
      </c>
      <c r="E53" s="19">
        <f>'Summary Medians'!C115</f>
        <v>1976</v>
      </c>
      <c r="F53" s="32">
        <f>+'Summary Medians'!$C$116</f>
        <v>1989</v>
      </c>
      <c r="G53" s="20">
        <f>+'Summary Medians'!$C$117</f>
        <v>1522</v>
      </c>
      <c r="H53" s="42">
        <f>+'Summary Medians'!$C$118</f>
        <v>1552</v>
      </c>
      <c r="I53" s="47">
        <f>+'Summary Medians'!$C$119</f>
        <v>804</v>
      </c>
      <c r="J53" s="20">
        <f>+'Summary Medians'!$C$120</f>
        <v>804</v>
      </c>
      <c r="L53" s="84"/>
      <c r="M53" s="85"/>
      <c r="N53" s="2"/>
      <c r="O53" s="85"/>
      <c r="P53" s="2"/>
      <c r="Q53" s="84"/>
      <c r="R53" s="85"/>
      <c r="S53" s="2"/>
    </row>
    <row r="54" spans="1:19">
      <c r="A54" s="6" t="s">
        <v>145</v>
      </c>
      <c r="B54" s="19">
        <f>'Summary Medians'!C129</f>
        <v>0</v>
      </c>
      <c r="C54" s="19">
        <f>'Summary Medians'!C130</f>
        <v>3492.5</v>
      </c>
      <c r="D54" s="19">
        <f>'Summary Medians'!C131</f>
        <v>3164</v>
      </c>
      <c r="E54" s="19">
        <f>'Summary Medians'!C132</f>
        <v>2970</v>
      </c>
      <c r="F54" s="32">
        <f>+'Summary Medians'!$C$133</f>
        <v>3122</v>
      </c>
      <c r="G54" s="20">
        <f>+'Summary Medians'!$C$134</f>
        <v>0</v>
      </c>
      <c r="H54" s="42">
        <f>+'Summary Medians'!$C$135</f>
        <v>0</v>
      </c>
      <c r="I54" s="47">
        <f>+'Summary Medians'!$C$136</f>
        <v>0</v>
      </c>
      <c r="J54" s="20">
        <f>+'Summary Medians'!$C$137</f>
        <v>0</v>
      </c>
      <c r="L54" s="84"/>
      <c r="M54" s="85"/>
      <c r="N54" s="6"/>
      <c r="O54" s="85"/>
      <c r="P54" s="6"/>
      <c r="Q54" s="84"/>
      <c r="R54" s="85"/>
      <c r="S54" s="6"/>
    </row>
    <row r="55" spans="1:19">
      <c r="A55" s="6"/>
      <c r="B55" s="19"/>
      <c r="C55" s="19"/>
      <c r="D55" s="19"/>
      <c r="E55" s="19"/>
      <c r="F55" s="32"/>
      <c r="G55" s="20"/>
      <c r="H55" s="42"/>
      <c r="I55" s="47"/>
      <c r="J55" s="20"/>
      <c r="L55" s="84"/>
      <c r="M55" s="85"/>
      <c r="N55" s="6"/>
      <c r="O55" s="85"/>
      <c r="P55" s="6"/>
      <c r="Q55" s="84"/>
      <c r="R55" s="85"/>
      <c r="S55" s="6"/>
    </row>
    <row r="56" spans="1:19">
      <c r="A56" s="2" t="s">
        <v>146</v>
      </c>
      <c r="B56" s="21">
        <f>'Summary Medians'!C146</f>
        <v>0</v>
      </c>
      <c r="C56" s="21">
        <f>'Summary Medians'!C147</f>
        <v>1740</v>
      </c>
      <c r="D56" s="21">
        <f>'Summary Medians'!C148</f>
        <v>1803</v>
      </c>
      <c r="E56" s="21">
        <f>'Summary Medians'!C149</f>
        <v>1800</v>
      </c>
      <c r="F56" s="33">
        <f>+'Summary Medians'!$C$150</f>
        <v>1800</v>
      </c>
      <c r="G56" s="22">
        <f>+'Summary Medians'!$C$151</f>
        <v>0</v>
      </c>
      <c r="H56" s="25">
        <f>+'Summary Medians'!$C$152</f>
        <v>0</v>
      </c>
      <c r="I56" s="46">
        <f>+'Summary Medians'!$C$153</f>
        <v>0</v>
      </c>
      <c r="J56" s="20">
        <f>+'Summary Medians'!$C$154</f>
        <v>0</v>
      </c>
      <c r="L56" s="84"/>
      <c r="M56" s="85"/>
      <c r="N56" s="2"/>
      <c r="O56" s="85"/>
      <c r="P56" s="2"/>
      <c r="Q56" s="84"/>
      <c r="R56" s="85"/>
      <c r="S56" s="2"/>
    </row>
    <row r="57" spans="1:19">
      <c r="A57" s="2" t="s">
        <v>147</v>
      </c>
      <c r="B57" s="21">
        <f>'Summary Medians'!C163</f>
        <v>0</v>
      </c>
      <c r="C57" s="21">
        <f>'Summary Medians'!C164</f>
        <v>1431</v>
      </c>
      <c r="D57" s="21">
        <f>'Summary Medians'!C165</f>
        <v>1424</v>
      </c>
      <c r="E57" s="21">
        <f>'Summary Medians'!C166</f>
        <v>1414</v>
      </c>
      <c r="F57" s="33">
        <f>+'Summary Medians'!$C$167</f>
        <v>1424</v>
      </c>
      <c r="G57" s="22">
        <f>+'Summary Medians'!$C$168</f>
        <v>0</v>
      </c>
      <c r="H57" s="25">
        <f>+'Summary Medians'!$C$169</f>
        <v>0</v>
      </c>
      <c r="I57" s="46">
        <f>+'Summary Medians'!$C$170</f>
        <v>0</v>
      </c>
      <c r="J57" s="19">
        <f>+'Summary Medians'!$C$171</f>
        <v>0</v>
      </c>
      <c r="L57" s="84"/>
      <c r="M57" s="85"/>
      <c r="N57" s="2"/>
      <c r="O57" s="85"/>
      <c r="P57" s="2"/>
      <c r="Q57" s="84"/>
      <c r="R57" s="85"/>
      <c r="S57" s="2"/>
    </row>
    <row r="58" spans="1:19">
      <c r="A58" s="2" t="s">
        <v>148</v>
      </c>
      <c r="B58" s="21">
        <f>'Summary Medians'!C180</f>
        <v>3832.5</v>
      </c>
      <c r="C58" s="21">
        <f>'Summary Medians'!C181</f>
        <v>2614.1999999999998</v>
      </c>
      <c r="D58" s="21">
        <f>'Summary Medians'!C182</f>
        <v>2534.1</v>
      </c>
      <c r="E58" s="21">
        <f>'Summary Medians'!C183</f>
        <v>2759.25</v>
      </c>
      <c r="F58" s="33">
        <f>+'Summary Medians'!$C$184</f>
        <v>2695.95</v>
      </c>
      <c r="G58" s="22">
        <f>+'Summary Medians'!$C$185</f>
        <v>1368</v>
      </c>
      <c r="H58" s="25">
        <f>+'Summary Medians'!$C$186</f>
        <v>1125</v>
      </c>
      <c r="I58" s="46">
        <f>+'Summary Medians'!$C$187</f>
        <v>0</v>
      </c>
      <c r="J58" s="19">
        <f>+'Summary Medians'!$C$188</f>
        <v>1125</v>
      </c>
      <c r="L58" s="84"/>
      <c r="M58" s="85"/>
      <c r="N58" s="2"/>
      <c r="O58" s="85"/>
      <c r="P58" s="2"/>
      <c r="Q58" s="84"/>
      <c r="R58" s="85"/>
      <c r="S58" s="2"/>
    </row>
    <row r="59" spans="1:19">
      <c r="A59" s="2" t="s">
        <v>149</v>
      </c>
      <c r="B59" s="21">
        <f>'Summary Medians'!C197</f>
        <v>7000</v>
      </c>
      <c r="C59" s="21">
        <f>'Summary Medians'!C198</f>
        <v>3360</v>
      </c>
      <c r="D59" s="21">
        <f>'Summary Medians'!C199</f>
        <v>3190</v>
      </c>
      <c r="E59" s="21">
        <f>'Summary Medians'!C200</f>
        <v>4267</v>
      </c>
      <c r="F59" s="33">
        <f>+'Summary Medians'!$C$201</f>
        <v>3270</v>
      </c>
      <c r="G59" s="22">
        <f>+'Summary Medians'!$C$202</f>
        <v>0</v>
      </c>
      <c r="H59" s="25">
        <f>+'Summary Medians'!$C$203</f>
        <v>0</v>
      </c>
      <c r="I59" s="46">
        <f>+'Summary Medians'!$C$204</f>
        <v>0</v>
      </c>
      <c r="J59" s="19">
        <f>+'Summary Medians'!$C$205</f>
        <v>0</v>
      </c>
      <c r="L59" s="84"/>
      <c r="M59" s="85"/>
      <c r="N59" s="2"/>
      <c r="O59" s="85"/>
      <c r="P59" s="2"/>
      <c r="Q59" s="84"/>
      <c r="R59" s="85"/>
      <c r="S59" s="2"/>
    </row>
    <row r="60" spans="1:19">
      <c r="A60" s="2"/>
      <c r="B60" s="21"/>
      <c r="C60" s="21"/>
      <c r="D60" s="21"/>
      <c r="E60" s="21"/>
      <c r="F60" s="33"/>
      <c r="G60" s="22"/>
      <c r="H60" s="25"/>
      <c r="I60" s="46"/>
      <c r="J60" s="19"/>
      <c r="L60" s="84"/>
      <c r="M60" s="85"/>
      <c r="N60" s="2"/>
      <c r="O60" s="85"/>
      <c r="P60" s="2"/>
      <c r="Q60" s="84"/>
      <c r="R60" s="85"/>
      <c r="S60" s="2"/>
    </row>
    <row r="61" spans="1:19">
      <c r="A61" s="2" t="s">
        <v>150</v>
      </c>
      <c r="B61" s="21">
        <f>'Summary Medians'!C214</f>
        <v>0</v>
      </c>
      <c r="C61" s="21">
        <f>'Summary Medians'!C215</f>
        <v>2797</v>
      </c>
      <c r="D61" s="21">
        <f>'Summary Medians'!C216</f>
        <v>2767</v>
      </c>
      <c r="E61" s="21">
        <f>'Summary Medians'!C217</f>
        <v>2777</v>
      </c>
      <c r="F61" s="33">
        <f>+'Summary Medians'!$C$218</f>
        <v>2775</v>
      </c>
      <c r="G61" s="22">
        <f>+'Summary Medians'!$C$219</f>
        <v>0</v>
      </c>
      <c r="H61" s="25">
        <f>+'Summary Medians'!$C$220</f>
        <v>2285</v>
      </c>
      <c r="I61" s="46">
        <f>+'Summary Medians'!$C$222</f>
        <v>2285</v>
      </c>
      <c r="J61" s="19">
        <f>+'Summary Medians'!$C$222</f>
        <v>2285</v>
      </c>
      <c r="L61" s="84"/>
      <c r="M61" s="85"/>
      <c r="N61" s="2"/>
      <c r="O61" s="85"/>
      <c r="P61" s="2"/>
      <c r="Q61" s="84"/>
      <c r="R61" s="85"/>
      <c r="S61" s="2"/>
    </row>
    <row r="62" spans="1:19">
      <c r="A62" s="6" t="s">
        <v>151</v>
      </c>
      <c r="B62" s="21">
        <f>'Summary Medians'!C231</f>
        <v>1822</v>
      </c>
      <c r="C62" s="21">
        <f>'Summary Medians'!C232</f>
        <v>1832</v>
      </c>
      <c r="D62" s="21">
        <f>'Summary Medians'!C233</f>
        <v>1664</v>
      </c>
      <c r="E62" s="21">
        <f>'Summary Medians'!C234</f>
        <v>2112</v>
      </c>
      <c r="F62" s="33">
        <f>+'Summary Medians'!$C$235</f>
        <v>1827</v>
      </c>
      <c r="G62" s="22">
        <f>+'Summary Medians'!$C$236</f>
        <v>0</v>
      </c>
      <c r="H62" s="25">
        <f>+'Summary Medians'!$C$237</f>
        <v>0</v>
      </c>
      <c r="I62" s="46">
        <f>+'Summary Medians'!$C$238</f>
        <v>0</v>
      </c>
      <c r="J62" s="19">
        <f>+'Summary Medians'!$C$239</f>
        <v>0</v>
      </c>
      <c r="L62" s="84"/>
      <c r="M62" s="85"/>
      <c r="N62" s="2"/>
      <c r="O62" s="85"/>
      <c r="P62" s="2"/>
      <c r="Q62" s="84"/>
      <c r="R62" s="85"/>
      <c r="S62" s="2"/>
    </row>
    <row r="63" spans="1:19">
      <c r="A63" s="2" t="s">
        <v>217</v>
      </c>
      <c r="B63" s="21">
        <f>'Summary Medians'!C248</f>
        <v>0</v>
      </c>
      <c r="C63" s="21">
        <f>'Summary Medians'!C249</f>
        <v>2584</v>
      </c>
      <c r="D63" s="21">
        <f>'Summary Medians'!C250</f>
        <v>2584</v>
      </c>
      <c r="E63" s="21">
        <f>'Summary Medians'!C251</f>
        <v>2584</v>
      </c>
      <c r="F63" s="33">
        <f>+'Summary Medians'!$C$252</f>
        <v>2584</v>
      </c>
      <c r="G63" s="22">
        <f>+'Summary Medians'!$C$253</f>
        <v>0</v>
      </c>
      <c r="H63" s="25">
        <f>+'Summary Medians'!$C$254</f>
        <v>0</v>
      </c>
      <c r="I63" s="46">
        <f>+'Summary Medians'!$C$255</f>
        <v>0</v>
      </c>
      <c r="J63" s="19">
        <f>+'Summary Medians'!$C$256</f>
        <v>0</v>
      </c>
      <c r="L63" s="84"/>
      <c r="M63" s="85"/>
      <c r="N63" s="2"/>
      <c r="O63" s="85"/>
      <c r="P63" s="2"/>
      <c r="Q63" s="84"/>
      <c r="R63" s="85"/>
      <c r="S63" s="2"/>
    </row>
    <row r="64" spans="1:19">
      <c r="A64" s="8" t="s">
        <v>153</v>
      </c>
      <c r="B64" s="23">
        <f>'Summary Medians'!C265</f>
        <v>2319</v>
      </c>
      <c r="C64" s="23">
        <f>'Summary Medians'!C266</f>
        <v>0</v>
      </c>
      <c r="D64" s="23">
        <f>'Summary Medians'!C267</f>
        <v>0</v>
      </c>
      <c r="E64" s="23">
        <f>'Summary Medians'!C268</f>
        <v>2856</v>
      </c>
      <c r="F64" s="34">
        <f>+'Summary Medians'!$C$269</f>
        <v>2748</v>
      </c>
      <c r="G64" s="24">
        <f>+'Summary Medians'!$C$270</f>
        <v>0</v>
      </c>
      <c r="H64" s="23">
        <f>+'Summary Medians'!$C$271</f>
        <v>0</v>
      </c>
      <c r="I64" s="48">
        <f>+'Summary Medians'!$C$272</f>
        <v>0</v>
      </c>
      <c r="J64" s="23">
        <f>+'Summary Medians'!$C$273</f>
        <v>0</v>
      </c>
      <c r="L64" s="84"/>
      <c r="M64" s="85"/>
      <c r="N64" s="5"/>
      <c r="O64" s="85"/>
      <c r="P64" s="5"/>
      <c r="Q64" s="84"/>
      <c r="R64" s="85"/>
      <c r="S64" s="5"/>
    </row>
    <row r="65" spans="1:10" ht="18.75" customHeight="1">
      <c r="A65" s="128" t="s">
        <v>877</v>
      </c>
      <c r="B65" s="1"/>
      <c r="C65" s="1"/>
      <c r="D65" s="1"/>
      <c r="E65" s="1"/>
      <c r="F65" s="1"/>
      <c r="G65" s="1"/>
      <c r="H65" s="1"/>
      <c r="I65" s="1"/>
      <c r="J65" s="105"/>
    </row>
    <row r="66" spans="1:10" ht="61.5" customHeight="1">
      <c r="A66" s="563" t="s">
        <v>344</v>
      </c>
      <c r="B66" s="563"/>
      <c r="C66" s="563"/>
      <c r="D66" s="563"/>
      <c r="E66" s="563"/>
      <c r="F66" s="563"/>
      <c r="G66" s="563"/>
      <c r="H66" s="563"/>
      <c r="I66" s="563"/>
      <c r="J66" s="563"/>
    </row>
    <row r="67" spans="1:10">
      <c r="H67" s="14"/>
      <c r="J67" s="129" t="s">
        <v>1116</v>
      </c>
    </row>
    <row r="68" spans="1:10" ht="18">
      <c r="A68" s="28" t="s">
        <v>553</v>
      </c>
      <c r="B68" s="28"/>
      <c r="C68" s="28"/>
      <c r="D68" s="28"/>
      <c r="E68" s="28"/>
      <c r="F68" s="28"/>
      <c r="G68" s="28"/>
      <c r="H68" s="96"/>
    </row>
    <row r="69" spans="1:10">
      <c r="A69" s="70"/>
      <c r="B69" s="70"/>
      <c r="C69" s="70"/>
      <c r="D69" s="70"/>
      <c r="E69" s="70"/>
      <c r="F69" s="70"/>
      <c r="G69" s="70"/>
      <c r="H69" s="97"/>
    </row>
    <row r="70" spans="1:10" ht="15.75">
      <c r="A70" s="29" t="s">
        <v>136</v>
      </c>
      <c r="B70" s="29"/>
      <c r="C70" s="29"/>
      <c r="D70" s="29"/>
      <c r="E70" s="29"/>
      <c r="F70" s="29"/>
      <c r="G70" s="29"/>
      <c r="H70" s="98"/>
    </row>
    <row r="71" spans="1:10" ht="15.75">
      <c r="A71" s="29" t="s">
        <v>154</v>
      </c>
      <c r="B71" s="29"/>
      <c r="C71" s="29"/>
      <c r="D71" s="29"/>
      <c r="E71" s="29"/>
      <c r="F71" s="29"/>
      <c r="G71" s="29"/>
      <c r="H71" s="98"/>
    </row>
    <row r="72" spans="1:10" ht="15.75">
      <c r="A72" s="29" t="s">
        <v>1128</v>
      </c>
      <c r="B72" s="29"/>
      <c r="C72" s="29"/>
      <c r="D72" s="29"/>
      <c r="E72" s="29"/>
      <c r="F72" s="29"/>
      <c r="G72" s="29"/>
      <c r="H72" s="98"/>
    </row>
    <row r="73" spans="1:10">
      <c r="A73" s="49"/>
      <c r="B73" s="49"/>
      <c r="C73" s="49"/>
      <c r="D73" s="49"/>
      <c r="E73" s="49"/>
      <c r="F73" s="49"/>
      <c r="G73" s="49"/>
      <c r="H73" s="106"/>
    </row>
    <row r="74" spans="1:10">
      <c r="A74" s="3"/>
      <c r="B74" s="4" t="s">
        <v>138</v>
      </c>
      <c r="C74" s="4"/>
      <c r="D74" s="4"/>
      <c r="E74" s="4"/>
      <c r="F74" s="4"/>
      <c r="G74" s="4"/>
      <c r="H74" s="99"/>
    </row>
    <row r="75" spans="1:10">
      <c r="A75" s="80"/>
      <c r="B75" s="79">
        <v>1</v>
      </c>
      <c r="C75" s="79">
        <v>2</v>
      </c>
      <c r="D75" s="79">
        <v>3</v>
      </c>
      <c r="E75" s="79">
        <v>4</v>
      </c>
      <c r="F75" s="79">
        <v>5</v>
      </c>
      <c r="G75" s="79">
        <v>6</v>
      </c>
      <c r="H75" s="107" t="s">
        <v>631</v>
      </c>
    </row>
    <row r="76" spans="1:10" ht="15.75">
      <c r="A76" s="475"/>
      <c r="B76" s="475"/>
      <c r="C76" s="475"/>
      <c r="D76" s="475"/>
      <c r="E76" s="475"/>
      <c r="F76" s="475"/>
      <c r="G76" s="476"/>
      <c r="H76" s="272"/>
    </row>
    <row r="77" spans="1:10">
      <c r="A77" s="6" t="s">
        <v>316</v>
      </c>
      <c r="B77" s="66">
        <f>+'Summary Medians'!$F$275</f>
        <v>18307</v>
      </c>
      <c r="C77" s="66">
        <f>+'Summary Medians'!$F$276</f>
        <v>14531.5</v>
      </c>
      <c r="D77" s="66">
        <f>+'Summary Medians'!$F$277</f>
        <v>14250</v>
      </c>
      <c r="E77" s="66">
        <f>+'Summary Medians'!$F$278</f>
        <v>13116</v>
      </c>
      <c r="F77" s="66">
        <f>+'Summary Medians'!$F$279</f>
        <v>12936</v>
      </c>
      <c r="G77" s="66">
        <f>+'Summary Medians'!$F$280</f>
        <v>11416</v>
      </c>
      <c r="H77" s="108">
        <f>+'Summary Medians'!$F$281</f>
        <v>14083</v>
      </c>
    </row>
    <row r="78" spans="1:10">
      <c r="A78" s="2"/>
      <c r="B78" s="25"/>
      <c r="C78" s="25"/>
      <c r="D78" s="25"/>
      <c r="E78" s="25"/>
      <c r="F78" s="25"/>
      <c r="G78" s="474"/>
      <c r="H78" s="42"/>
    </row>
    <row r="79" spans="1:10">
      <c r="A79" s="2" t="s">
        <v>139</v>
      </c>
      <c r="B79" s="21">
        <f>+'Summary Medians'!$F$3</f>
        <v>18000</v>
      </c>
      <c r="C79" s="21">
        <f>+'Summary Medians'!$F$4</f>
        <v>13092</v>
      </c>
      <c r="D79" s="21">
        <f>+'Summary Medians'!$F$5</f>
        <v>10411</v>
      </c>
      <c r="E79" s="21">
        <f>+'Summary Medians'!$F$6</f>
        <v>10188</v>
      </c>
      <c r="F79" s="21">
        <f>+'Summary Medians'!$F$7</f>
        <v>11250</v>
      </c>
      <c r="G79" s="21">
        <f>+'Summary Medians'!$F$8</f>
        <v>7350</v>
      </c>
      <c r="H79" s="109">
        <f>+'Summary Medians'!$F$9</f>
        <v>11150</v>
      </c>
    </row>
    <row r="80" spans="1:10">
      <c r="A80" s="2" t="s">
        <v>140</v>
      </c>
      <c r="B80" s="21">
        <f>+'Summary Medians'!$F$20</f>
        <v>15276</v>
      </c>
      <c r="C80" s="21">
        <f>+'Summary Medians'!$F$21</f>
        <v>0</v>
      </c>
      <c r="D80" s="21">
        <f>+'Summary Medians'!$F$22</f>
        <v>14290</v>
      </c>
      <c r="E80" s="21">
        <f>+'Summary Medians'!$F$23</f>
        <v>10602</v>
      </c>
      <c r="F80" s="21">
        <f>+'Summary Medians'!$F$24</f>
        <v>8438</v>
      </c>
      <c r="G80" s="21">
        <f>+'Summary Medians'!$F$25</f>
        <v>9418</v>
      </c>
      <c r="H80" s="109">
        <f>+'Summary Medians'!$F$26</f>
        <v>10602</v>
      </c>
    </row>
    <row r="81" spans="1:8">
      <c r="A81" s="2" t="s">
        <v>211</v>
      </c>
      <c r="B81" s="21">
        <f>+'Summary Medians'!$F$37</f>
        <v>21126</v>
      </c>
      <c r="C81" s="21">
        <f>+'Summary Medians'!$F$38</f>
        <v>0</v>
      </c>
      <c r="D81" s="21">
        <f>+'Summary Medians'!$F$39</f>
        <v>0</v>
      </c>
      <c r="E81" s="21">
        <f>+'Summary Medians'!$F$40</f>
        <v>13742</v>
      </c>
      <c r="F81" s="21">
        <f>+'Summary Medians'!$F$41</f>
        <v>0</v>
      </c>
      <c r="G81" s="21">
        <f>+'Summary Medians'!$F$42</f>
        <v>0</v>
      </c>
      <c r="H81" s="109">
        <f>+'Summary Medians'!$F$43</f>
        <v>17434</v>
      </c>
    </row>
    <row r="82" spans="1:8">
      <c r="A82" s="6" t="s">
        <v>141</v>
      </c>
      <c r="B82" s="21">
        <f>+'Summary Medians'!$F$54</f>
        <v>18432</v>
      </c>
      <c r="C82" s="21">
        <f>+'Summary Medians'!$F$55</f>
        <v>17508.599999999999</v>
      </c>
      <c r="D82" s="21">
        <f>+'Summary Medians'!$F$56</f>
        <v>15512.4</v>
      </c>
      <c r="E82" s="21">
        <f>+'Summary Medians'!$F$57</f>
        <v>17237.400000000001</v>
      </c>
      <c r="F82" s="21">
        <f>+'Summary Medians'!$F$58</f>
        <v>0</v>
      </c>
      <c r="G82" s="21">
        <f>+'Summary Medians'!$F$59</f>
        <v>19804.8</v>
      </c>
      <c r="H82" s="109">
        <f>+'Summary Medians'!$F$60</f>
        <v>17237.400000000001</v>
      </c>
    </row>
    <row r="83" spans="1:8">
      <c r="A83" s="2"/>
      <c r="B83" s="21"/>
      <c r="C83" s="21"/>
      <c r="D83" s="21"/>
      <c r="E83" s="21"/>
      <c r="F83" s="21"/>
      <c r="G83" s="21"/>
      <c r="H83" s="109"/>
    </row>
    <row r="84" spans="1:8">
      <c r="A84" s="6" t="s">
        <v>142</v>
      </c>
      <c r="B84" s="21">
        <f>+'Summary Medians'!$F$71</f>
        <v>21483</v>
      </c>
      <c r="C84" s="21">
        <f>+'Summary Medians'!$F$72</f>
        <v>25182</v>
      </c>
      <c r="D84" s="21">
        <f>+'Summary Medians'!$F$73</f>
        <v>13930</v>
      </c>
      <c r="E84" s="21">
        <f>+'Summary Medians'!$F$74</f>
        <v>13168</v>
      </c>
      <c r="F84" s="21">
        <f>+'Summary Medians'!$F$75</f>
        <v>13128</v>
      </c>
      <c r="G84" s="21">
        <f>+'Summary Medians'!$F$76</f>
        <v>10654</v>
      </c>
      <c r="H84" s="109">
        <f>+'Summary Medians'!$F$77</f>
        <v>13324</v>
      </c>
    </row>
    <row r="85" spans="1:8">
      <c r="A85" s="2" t="s">
        <v>143</v>
      </c>
      <c r="B85" s="19">
        <f>+'Summary Medians'!$F$88</f>
        <v>17172</v>
      </c>
      <c r="C85" s="21">
        <f>+'Summary Medians'!$F$89</f>
        <v>0</v>
      </c>
      <c r="D85" s="21">
        <f>+'Summary Medians'!$F$90</f>
        <v>16612</v>
      </c>
      <c r="E85" s="21">
        <f>+'Summary Medians'!$F$91</f>
        <v>13347</v>
      </c>
      <c r="F85" s="21">
        <f>+'Summary Medians'!$F$92</f>
        <v>13490</v>
      </c>
      <c r="G85" s="21">
        <f>+'Summary Medians'!$F$93</f>
        <v>0</v>
      </c>
      <c r="H85" s="109">
        <f>+'Summary Medians'!$F$94</f>
        <v>15801</v>
      </c>
    </row>
    <row r="86" spans="1:8">
      <c r="A86" s="2" t="s">
        <v>144</v>
      </c>
      <c r="B86" s="21">
        <f>+'Summary Medians'!$F$105</f>
        <v>13800.4</v>
      </c>
      <c r="C86" s="21">
        <f>+'Summary Medians'!$F$106</f>
        <v>10941</v>
      </c>
      <c r="D86" s="21">
        <f>+'Summary Medians'!$F$107</f>
        <v>9698</v>
      </c>
      <c r="E86" s="21">
        <f>+'Summary Medians'!$F$108</f>
        <v>9186.5</v>
      </c>
      <c r="F86" s="21">
        <f>+'Summary Medians'!$F$109</f>
        <v>0</v>
      </c>
      <c r="G86" s="21">
        <f>+'Summary Medians'!$F$110</f>
        <v>0</v>
      </c>
      <c r="H86" s="109">
        <f>+'Summary Medians'!$F$111</f>
        <v>9698</v>
      </c>
    </row>
    <row r="87" spans="1:8">
      <c r="A87" s="6" t="s">
        <v>145</v>
      </c>
      <c r="B87" s="21">
        <f>+'Summary Medians'!$F$122</f>
        <v>23076</v>
      </c>
      <c r="C87" s="21">
        <f>+'Summary Medians'!$F$123</f>
        <v>17512</v>
      </c>
      <c r="D87" s="21">
        <f>+'Summary Medians'!$F$124</f>
        <v>16394</v>
      </c>
      <c r="E87" s="21">
        <f>+'Summary Medians'!$F$125</f>
        <v>15510</v>
      </c>
      <c r="F87" s="21">
        <f>+'Summary Medians'!$F$126</f>
        <v>0</v>
      </c>
      <c r="G87" s="21">
        <f>+'Summary Medians'!$F$127</f>
        <v>23454</v>
      </c>
      <c r="H87" s="109">
        <f>+'Summary Medians'!$F$128</f>
        <v>16810</v>
      </c>
    </row>
    <row r="88" spans="1:8">
      <c r="A88" s="6"/>
      <c r="B88" s="21"/>
      <c r="C88" s="21"/>
      <c r="D88" s="21"/>
      <c r="E88" s="21"/>
      <c r="F88" s="21"/>
      <c r="G88" s="21"/>
      <c r="H88" s="109"/>
    </row>
    <row r="89" spans="1:8">
      <c r="A89" s="2" t="s">
        <v>146</v>
      </c>
      <c r="B89" s="21">
        <f>+'Summary Medians'!$F$139</f>
        <v>12623</v>
      </c>
      <c r="C89" s="21">
        <f>+'Summary Medians'!$F$140</f>
        <v>11722.5</v>
      </c>
      <c r="D89" s="21">
        <f>+'Summary Medians'!$F$141</f>
        <v>0</v>
      </c>
      <c r="E89" s="21">
        <f>+'Summary Medians'!$F$142</f>
        <v>11116</v>
      </c>
      <c r="F89" s="21">
        <f>+'Summary Medians'!$F$143</f>
        <v>11688</v>
      </c>
      <c r="G89" s="21">
        <f>+'Summary Medians'!$F$144</f>
        <v>0</v>
      </c>
      <c r="H89" s="109">
        <f>+'Summary Medians'!$F$145</f>
        <v>11435</v>
      </c>
    </row>
    <row r="90" spans="1:8">
      <c r="A90" s="2" t="s">
        <v>147</v>
      </c>
      <c r="B90" s="21">
        <f>+'Summary Medians'!$F$156</f>
        <v>19933.5</v>
      </c>
      <c r="C90" s="21">
        <f>+'Summary Medians'!$F$157</f>
        <v>15168</v>
      </c>
      <c r="D90" s="21">
        <f>+'Summary Medians'!$F$158</f>
        <v>14085.5</v>
      </c>
      <c r="E90" s="21">
        <f>+'Summary Medians'!$F$159</f>
        <v>13226</v>
      </c>
      <c r="F90" s="21">
        <f>+'Summary Medians'!$F$160</f>
        <v>12448.5</v>
      </c>
      <c r="G90" s="21">
        <f>+'Summary Medians'!$F$161</f>
        <v>13720</v>
      </c>
      <c r="H90" s="109">
        <f>+'Summary Medians'!$F$162</f>
        <v>14392</v>
      </c>
    </row>
    <row r="91" spans="1:8">
      <c r="A91" s="2" t="s">
        <v>148</v>
      </c>
      <c r="B91" s="21">
        <f>+'Summary Medians'!$F$173</f>
        <v>16514.7</v>
      </c>
      <c r="C91" s="21">
        <f>+'Summary Medians'!$F$174</f>
        <v>0</v>
      </c>
      <c r="D91" s="21">
        <f>+'Summary Medians'!$F$175</f>
        <v>10448.25</v>
      </c>
      <c r="E91" s="21">
        <f>+'Summary Medians'!$F$176</f>
        <v>0</v>
      </c>
      <c r="F91" s="21">
        <f>+'Summary Medians'!$F$177</f>
        <v>10057.5</v>
      </c>
      <c r="G91" s="21">
        <f>+'Summary Medians'!$F$178</f>
        <v>9733.5</v>
      </c>
      <c r="H91" s="109">
        <f>+'Summary Medians'!$F$179</f>
        <v>10236</v>
      </c>
    </row>
    <row r="92" spans="1:8">
      <c r="A92" s="2" t="s">
        <v>149</v>
      </c>
      <c r="B92" s="21">
        <f>+'Summary Medians'!$F$190</f>
        <v>23154</v>
      </c>
      <c r="C92" s="21">
        <f>+'Summary Medians'!$F$191</f>
        <v>0</v>
      </c>
      <c r="D92" s="21">
        <f>+'Summary Medians'!$F$192</f>
        <v>20564</v>
      </c>
      <c r="E92" s="21">
        <f>+'Summary Medians'!$F$193</f>
        <v>21031</v>
      </c>
      <c r="F92" s="21">
        <f>+'Summary Medians'!$F$194</f>
        <v>15298</v>
      </c>
      <c r="G92" s="21">
        <f>+'Summary Medians'!$F$195</f>
        <v>15840</v>
      </c>
      <c r="H92" s="109">
        <f>+'Summary Medians'!$F$196</f>
        <v>18090</v>
      </c>
    </row>
    <row r="93" spans="1:8" ht="15.75">
      <c r="A93" s="2"/>
      <c r="B93" s="475"/>
      <c r="C93" s="475"/>
      <c r="D93" s="475"/>
      <c r="E93" s="475"/>
      <c r="F93" s="475"/>
      <c r="G93" s="475"/>
      <c r="H93" s="477"/>
    </row>
    <row r="94" spans="1:8">
      <c r="A94" s="2" t="s">
        <v>150</v>
      </c>
      <c r="B94" s="21">
        <f>+'Summary Medians'!$F$207</f>
        <v>18461</v>
      </c>
      <c r="C94" s="21">
        <f>+'Summary Medians'!$F$208</f>
        <v>0</v>
      </c>
      <c r="D94" s="21">
        <f>+'Summary Medians'!$F$209</f>
        <v>16093</v>
      </c>
      <c r="E94" s="21">
        <f>+'Summary Medians'!$F$210</f>
        <v>16418</v>
      </c>
      <c r="F94" s="21">
        <f>+'Summary Medians'!$F$211</f>
        <v>15897</v>
      </c>
      <c r="G94" s="21">
        <f>+'Summary Medians'!$F$212</f>
        <v>0</v>
      </c>
      <c r="H94" s="109">
        <f>+'Summary Medians'!$F$213</f>
        <v>16136</v>
      </c>
    </row>
    <row r="95" spans="1:8">
      <c r="A95" s="6" t="s">
        <v>151</v>
      </c>
      <c r="B95" s="21">
        <f>+'Summary Medians'!$F$224</f>
        <v>16598</v>
      </c>
      <c r="C95" s="21">
        <f>+'Summary Medians'!$F$225</f>
        <v>14356</v>
      </c>
      <c r="D95" s="21">
        <f>+'Summary Medians'!$F$226</f>
        <v>14147.5</v>
      </c>
      <c r="E95" s="21">
        <f>+'Summary Medians'!$F$227</f>
        <v>13260</v>
      </c>
      <c r="F95" s="21">
        <f>+'Summary Medians'!$F$228</f>
        <v>13336</v>
      </c>
      <c r="G95" s="21">
        <f>+'Summary Medians'!$F$229</f>
        <v>15148</v>
      </c>
      <c r="H95" s="109">
        <f>+'Summary Medians'!$F$230</f>
        <v>14172</v>
      </c>
    </row>
    <row r="96" spans="1:8">
      <c r="A96" s="2" t="s">
        <v>152</v>
      </c>
      <c r="B96" s="21">
        <f>+'Summary Medians'!$F$241</f>
        <v>21648</v>
      </c>
      <c r="C96" s="21">
        <f>+'Summary Medians'!$F$242</f>
        <v>19724</v>
      </c>
      <c r="D96" s="21">
        <f>+'Summary Medians'!$F$243</f>
        <v>17004</v>
      </c>
      <c r="E96" s="21">
        <f>+'Summary Medians'!$F$244</f>
        <v>14930</v>
      </c>
      <c r="F96" s="21">
        <f>+'Summary Medians'!$F$245</f>
        <v>17527</v>
      </c>
      <c r="G96" s="21">
        <f>+'Summary Medians'!$F$246</f>
        <v>18313</v>
      </c>
      <c r="H96" s="109">
        <f>+'Summary Medians'!$F$247</f>
        <v>18385.5</v>
      </c>
    </row>
    <row r="97" spans="1:10">
      <c r="A97" s="8" t="s">
        <v>153</v>
      </c>
      <c r="B97" s="26">
        <f>+'Summary Medians'!$F$258</f>
        <v>15770</v>
      </c>
      <c r="C97" s="26">
        <f>+'Summary Medians'!$F$259</f>
        <v>0</v>
      </c>
      <c r="D97" s="26">
        <f>+'Summary Medians'!$F$260</f>
        <v>12002</v>
      </c>
      <c r="E97" s="26">
        <f>+'Summary Medians'!$F$261</f>
        <v>0</v>
      </c>
      <c r="F97" s="26">
        <f>+'Summary Medians'!$F$262</f>
        <v>10370</v>
      </c>
      <c r="G97" s="26">
        <f>+'Summary Medians'!$F$263</f>
        <v>10738</v>
      </c>
      <c r="H97" s="111">
        <f>+'Summary Medians'!$F$264</f>
        <v>10817</v>
      </c>
    </row>
    <row r="98" spans="1:10" ht="40.5" customHeight="1">
      <c r="A98" s="563" t="s">
        <v>156</v>
      </c>
      <c r="B98" s="563"/>
      <c r="C98" s="563"/>
      <c r="D98" s="563"/>
      <c r="E98" s="563"/>
      <c r="F98" s="563"/>
      <c r="G98" s="563"/>
      <c r="H98" s="563"/>
    </row>
    <row r="99" spans="1:10" ht="15.75">
      <c r="A99" s="475"/>
      <c r="B99" s="475"/>
      <c r="C99" s="475"/>
      <c r="D99" s="475"/>
      <c r="E99" s="475"/>
      <c r="F99" s="475"/>
      <c r="G99" s="475"/>
      <c r="H99" s="129" t="s">
        <v>1116</v>
      </c>
    </row>
    <row r="100" spans="1:10" ht="18">
      <c r="A100" s="564" t="s">
        <v>325</v>
      </c>
      <c r="B100" s="564"/>
      <c r="C100" s="564"/>
      <c r="D100" s="564"/>
      <c r="E100" s="564"/>
      <c r="F100" s="564"/>
      <c r="G100" s="564"/>
      <c r="H100" s="564"/>
      <c r="I100" s="564"/>
      <c r="J100" s="564"/>
    </row>
    <row r="101" spans="1:10">
      <c r="A101" s="72"/>
      <c r="B101" s="72"/>
      <c r="C101" s="72"/>
      <c r="D101" s="72"/>
      <c r="E101" s="72"/>
      <c r="F101" s="72"/>
      <c r="G101" s="72"/>
      <c r="H101" s="72"/>
      <c r="I101" s="72"/>
      <c r="J101" s="103"/>
    </row>
    <row r="102" spans="1:10" ht="15.75">
      <c r="A102" s="565" t="s">
        <v>136</v>
      </c>
      <c r="B102" s="565"/>
      <c r="C102" s="565"/>
      <c r="D102" s="565"/>
      <c r="E102" s="565"/>
      <c r="F102" s="565"/>
      <c r="G102" s="565"/>
      <c r="H102" s="565"/>
      <c r="I102" s="565"/>
      <c r="J102" s="565"/>
    </row>
    <row r="103" spans="1:10" ht="15.75">
      <c r="A103" s="565" t="s">
        <v>154</v>
      </c>
      <c r="B103" s="565"/>
      <c r="C103" s="565"/>
      <c r="D103" s="565"/>
      <c r="E103" s="565"/>
      <c r="F103" s="565"/>
      <c r="G103" s="565"/>
      <c r="H103" s="565"/>
      <c r="I103" s="565"/>
      <c r="J103" s="565"/>
    </row>
    <row r="104" spans="1:10" ht="15.75">
      <c r="A104" s="565" t="s">
        <v>1130</v>
      </c>
      <c r="B104" s="565"/>
      <c r="C104" s="565"/>
      <c r="D104" s="565"/>
      <c r="E104" s="565"/>
      <c r="F104" s="565"/>
      <c r="G104" s="565"/>
      <c r="H104" s="565"/>
      <c r="I104" s="565"/>
      <c r="J104" s="565"/>
    </row>
    <row r="105" spans="1:10">
      <c r="A105" s="2"/>
      <c r="B105" s="2"/>
      <c r="C105" s="2"/>
      <c r="D105" s="2"/>
      <c r="E105" s="2"/>
      <c r="F105" s="2"/>
      <c r="G105" s="2"/>
      <c r="H105" s="2"/>
      <c r="I105" s="2"/>
      <c r="J105" s="13"/>
    </row>
    <row r="106" spans="1:10">
      <c r="A106" s="3"/>
      <c r="B106" s="11" t="s">
        <v>548</v>
      </c>
      <c r="C106" s="11"/>
      <c r="D106" s="11"/>
      <c r="E106" s="11"/>
      <c r="F106" s="74"/>
      <c r="G106" s="75" t="s">
        <v>228</v>
      </c>
      <c r="H106" s="11"/>
      <c r="I106" s="11"/>
      <c r="J106" s="112"/>
    </row>
    <row r="107" spans="1:10" ht="36">
      <c r="A107" s="80"/>
      <c r="B107" s="65" t="s">
        <v>303</v>
      </c>
      <c r="C107" s="79">
        <v>1</v>
      </c>
      <c r="D107" s="79">
        <v>2</v>
      </c>
      <c r="E107" s="79">
        <v>3</v>
      </c>
      <c r="F107" s="81" t="s">
        <v>631</v>
      </c>
      <c r="G107" s="79">
        <v>1</v>
      </c>
      <c r="H107" s="79">
        <v>2</v>
      </c>
      <c r="I107" s="45" t="s">
        <v>549</v>
      </c>
      <c r="J107" s="100" t="s">
        <v>631</v>
      </c>
    </row>
    <row r="108" spans="1:10">
      <c r="A108" s="5"/>
      <c r="B108" s="9"/>
      <c r="C108" s="9"/>
      <c r="D108" s="9"/>
      <c r="E108" s="52"/>
      <c r="F108" s="53"/>
      <c r="G108" s="59"/>
      <c r="H108" s="60"/>
      <c r="I108" s="60"/>
      <c r="J108" s="61"/>
    </row>
    <row r="109" spans="1:10">
      <c r="A109" s="6" t="s">
        <v>316</v>
      </c>
      <c r="B109" s="17">
        <f>'Summary Medians'!$F282</f>
        <v>8167.95</v>
      </c>
      <c r="C109" s="17">
        <f>'Summary Medians'!$F283</f>
        <v>7533</v>
      </c>
      <c r="D109" s="17">
        <f>'Summary Medians'!$F284</f>
        <v>7526</v>
      </c>
      <c r="E109" s="17">
        <f>'Summary Medians'!$F285</f>
        <v>6370</v>
      </c>
      <c r="F109" s="35">
        <f>+'Summary Medians'!$F$286</f>
        <v>7493.5</v>
      </c>
      <c r="G109" s="18">
        <f>+'Summary Medians'!$F$287</f>
        <v>2844.5</v>
      </c>
      <c r="H109" s="41">
        <f>+'Summary Medians'!$F$288</f>
        <v>2350</v>
      </c>
      <c r="I109" s="54">
        <f>+'Summary Medians'!$F$289</f>
        <v>1394.8</v>
      </c>
      <c r="J109" s="18">
        <f>+'Summary Medians'!$F$290</f>
        <v>2250</v>
      </c>
    </row>
    <row r="110" spans="1:10">
      <c r="A110" s="6"/>
      <c r="B110" s="25"/>
      <c r="C110" s="25"/>
      <c r="D110" s="25"/>
      <c r="E110" s="25"/>
      <c r="F110" s="35"/>
      <c r="G110" s="20"/>
      <c r="H110" s="42"/>
      <c r="I110" s="47"/>
      <c r="J110" s="20"/>
    </row>
    <row r="111" spans="1:10">
      <c r="A111" s="2" t="s">
        <v>139</v>
      </c>
      <c r="B111" s="21">
        <f>'Summary Medians'!$F10</f>
        <v>0</v>
      </c>
      <c r="C111" s="21">
        <f>'Summary Medians'!$F11</f>
        <v>5085</v>
      </c>
      <c r="D111" s="21">
        <f>'Summary Medians'!$F12</f>
        <v>4830</v>
      </c>
      <c r="E111" s="21">
        <f>'Summary Medians'!$F13</f>
        <v>4830</v>
      </c>
      <c r="F111" s="35">
        <f>+'Summary Medians'!$F$14</f>
        <v>4830</v>
      </c>
      <c r="G111" s="22">
        <f>+'Summary Medians'!$F$15</f>
        <v>4830</v>
      </c>
      <c r="H111" s="25">
        <f>+'Summary Medians'!$F$16</f>
        <v>4875</v>
      </c>
      <c r="I111" s="46">
        <f>+'Summary Medians'!$F$17</f>
        <v>0</v>
      </c>
      <c r="J111" s="20">
        <f>+'Summary Medians'!$F$18</f>
        <v>4830</v>
      </c>
    </row>
    <row r="112" spans="1:10">
      <c r="A112" s="2" t="s">
        <v>140</v>
      </c>
      <c r="B112" s="21">
        <f>'Summary Medians'!$F27</f>
        <v>0</v>
      </c>
      <c r="C112" s="21">
        <f>'Summary Medians'!$F28</f>
        <v>4190</v>
      </c>
      <c r="D112" s="21">
        <f>'Summary Medians'!$F29</f>
        <v>4501.5</v>
      </c>
      <c r="E112" s="21">
        <f>'Summary Medians'!$F30</f>
        <v>4240</v>
      </c>
      <c r="F112" s="35">
        <f>+'Summary Medians'!$F$31</f>
        <v>4250</v>
      </c>
      <c r="G112" s="22">
        <f>+'Summary Medians'!$F$32</f>
        <v>0</v>
      </c>
      <c r="H112" s="25">
        <f>+'Summary Medians'!$F$33</f>
        <v>0</v>
      </c>
      <c r="I112" s="46">
        <f>+'Summary Medians'!$F$34</f>
        <v>0</v>
      </c>
      <c r="J112" s="20">
        <f>+'Summary Medians'!$F$35</f>
        <v>0</v>
      </c>
    </row>
    <row r="113" spans="1:10">
      <c r="A113" s="2" t="s">
        <v>211</v>
      </c>
      <c r="B113" s="21">
        <f>'Summary Medians'!$F44</f>
        <v>0</v>
      </c>
      <c r="C113" s="21">
        <f>'Summary Medians'!$F45</f>
        <v>0</v>
      </c>
      <c r="D113" s="21">
        <f>'Summary Medians'!$F46</f>
        <v>0</v>
      </c>
      <c r="E113" s="21">
        <f>'Summary Medians'!$F47</f>
        <v>0</v>
      </c>
      <c r="F113" s="35">
        <f>+'Summary Medians'!$F$48</f>
        <v>0</v>
      </c>
      <c r="G113" s="22">
        <f>+'Summary Medians'!$F$49</f>
        <v>0</v>
      </c>
      <c r="H113" s="25">
        <f>+'Summary Medians'!$F$50</f>
        <v>0</v>
      </c>
      <c r="I113" s="46">
        <f>+'Summary Medians'!$F$51</f>
        <v>0</v>
      </c>
      <c r="J113" s="20">
        <f>+'Summary Medians'!$F$52</f>
        <v>0</v>
      </c>
    </row>
    <row r="114" spans="1:10">
      <c r="A114" s="6" t="s">
        <v>141</v>
      </c>
      <c r="B114" s="19">
        <f>'Summary Medians'!$F61</f>
        <v>8411.7000000000007</v>
      </c>
      <c r="C114" s="19">
        <f>'Summary Medians'!$F62</f>
        <v>8431.5</v>
      </c>
      <c r="D114" s="19">
        <f>'Summary Medians'!$F63</f>
        <v>8555.4</v>
      </c>
      <c r="E114" s="19">
        <f>'Summary Medians'!$F64</f>
        <v>8356.9500000000007</v>
      </c>
      <c r="F114" s="35">
        <f>+'Summary Medians'!$F$65</f>
        <v>8435.5499999999993</v>
      </c>
      <c r="G114" s="20">
        <f>+'Summary Medians'!$F$66</f>
        <v>0</v>
      </c>
      <c r="H114" s="42">
        <f>+'Summary Medians'!$F$67</f>
        <v>0</v>
      </c>
      <c r="I114" s="47">
        <f>+'Summary Medians'!$F$68</f>
        <v>0</v>
      </c>
      <c r="J114" s="20">
        <f>+'Summary Medians'!$F$69</f>
        <v>0</v>
      </c>
    </row>
    <row r="115" spans="1:10">
      <c r="A115" s="6"/>
      <c r="B115" s="21"/>
      <c r="C115" s="21"/>
      <c r="D115" s="21"/>
      <c r="E115" s="21"/>
      <c r="F115" s="35"/>
      <c r="G115" s="20"/>
      <c r="H115" s="42"/>
      <c r="I115" s="47"/>
      <c r="J115" s="20"/>
    </row>
    <row r="116" spans="1:10">
      <c r="A116" s="6" t="s">
        <v>142</v>
      </c>
      <c r="B116" s="19">
        <f>'Summary Medians'!$F78</f>
        <v>8322</v>
      </c>
      <c r="C116" s="19">
        <f>'Summary Medians'!$F79</f>
        <v>7824</v>
      </c>
      <c r="D116" s="19">
        <f>'Summary Medians'!$F80</f>
        <v>8080</v>
      </c>
      <c r="E116" s="19">
        <f>'Summary Medians'!$F81</f>
        <v>7581</v>
      </c>
      <c r="F116" s="35">
        <f>+'Summary Medians'!$F$82</f>
        <v>7826</v>
      </c>
      <c r="G116" s="20">
        <f>+'Summary Medians'!$F$83</f>
        <v>2839.5</v>
      </c>
      <c r="H116" s="42">
        <f>+'Summary Medians'!$F$84</f>
        <v>2835</v>
      </c>
      <c r="I116" s="47">
        <f>+'Summary Medians'!$F$85</f>
        <v>0</v>
      </c>
      <c r="J116" s="20">
        <f>+'Summary Medians'!$F$86</f>
        <v>2835</v>
      </c>
    </row>
    <row r="117" spans="1:10">
      <c r="A117" s="2" t="s">
        <v>143</v>
      </c>
      <c r="B117" s="21">
        <f>'Summary Medians'!$F95</f>
        <v>0</v>
      </c>
      <c r="C117" s="21">
        <f>'Summary Medians'!$F96</f>
        <v>11700</v>
      </c>
      <c r="D117" s="21">
        <f>'Summary Medians'!$F97</f>
        <v>11700</v>
      </c>
      <c r="E117" s="21">
        <f>'Summary Medians'!$F98</f>
        <v>11700</v>
      </c>
      <c r="F117" s="35">
        <f>+'Summary Medians'!$F$99</f>
        <v>11700</v>
      </c>
      <c r="G117" s="22">
        <f>+'Summary Medians'!$F$100</f>
        <v>11700</v>
      </c>
      <c r="H117" s="25">
        <f>+'Summary Medians'!$F$101</f>
        <v>0</v>
      </c>
      <c r="I117" s="46">
        <f>+'Summary Medians'!$F$103</f>
        <v>11700</v>
      </c>
      <c r="J117" s="20">
        <f>+'Summary Medians'!$F$103</f>
        <v>11700</v>
      </c>
    </row>
    <row r="118" spans="1:10">
      <c r="A118" s="2" t="s">
        <v>144</v>
      </c>
      <c r="B118" s="19">
        <f>'Summary Medians'!$F112</f>
        <v>5983.5</v>
      </c>
      <c r="C118" s="19">
        <f>'Summary Medians'!$F113</f>
        <v>4982</v>
      </c>
      <c r="D118" s="19">
        <f>'Summary Medians'!$F114</f>
        <v>4662</v>
      </c>
      <c r="E118" s="19">
        <f>'Summary Medians'!$F115</f>
        <v>4086</v>
      </c>
      <c r="F118" s="35">
        <f>+'Summary Medians'!$F$116</f>
        <v>4520</v>
      </c>
      <c r="G118" s="20">
        <f>+'Summary Medians'!$F$117</f>
        <v>2842</v>
      </c>
      <c r="H118" s="42">
        <f>+'Summary Medians'!$F$118</f>
        <v>2872</v>
      </c>
      <c r="I118" s="47">
        <f>+'Summary Medians'!$F$119</f>
        <v>1394.8</v>
      </c>
      <c r="J118" s="20">
        <f>+'Summary Medians'!$F$120</f>
        <v>1394.8</v>
      </c>
    </row>
    <row r="119" spans="1:10">
      <c r="A119" s="6" t="s">
        <v>145</v>
      </c>
      <c r="B119" s="19">
        <f>'Summary Medians'!$F129</f>
        <v>0</v>
      </c>
      <c r="C119" s="19">
        <f>'Summary Medians'!$F130</f>
        <v>8442.5</v>
      </c>
      <c r="D119" s="19">
        <f>'Summary Medians'!$F131</f>
        <v>7170</v>
      </c>
      <c r="E119" s="19">
        <f>'Summary Medians'!$F132</f>
        <v>7034</v>
      </c>
      <c r="F119" s="35">
        <f>+'Summary Medians'!$F$133</f>
        <v>7380</v>
      </c>
      <c r="G119" s="20">
        <f>+'Summary Medians'!$F$134</f>
        <v>0</v>
      </c>
      <c r="H119" s="42">
        <f>+'Summary Medians'!$F$135</f>
        <v>0</v>
      </c>
      <c r="I119" s="47">
        <f>+'Summary Medians'!$F$136</f>
        <v>0</v>
      </c>
      <c r="J119" s="20">
        <f>+'Summary Medians'!$F$137</f>
        <v>0</v>
      </c>
    </row>
    <row r="120" spans="1:10">
      <c r="A120" s="6"/>
      <c r="B120" s="19"/>
      <c r="C120" s="19"/>
      <c r="D120" s="19"/>
      <c r="E120" s="19"/>
      <c r="F120" s="35"/>
      <c r="G120" s="20"/>
      <c r="H120" s="42"/>
      <c r="I120" s="47"/>
      <c r="J120" s="20"/>
    </row>
    <row r="121" spans="1:10">
      <c r="A121" s="2" t="s">
        <v>146</v>
      </c>
      <c r="B121" s="21">
        <f>'Summary Medians'!$F146</f>
        <v>0</v>
      </c>
      <c r="C121" s="21">
        <f>'Summary Medians'!$F147</f>
        <v>3700</v>
      </c>
      <c r="D121" s="21">
        <f>'Summary Medians'!$F148</f>
        <v>3587</v>
      </c>
      <c r="E121" s="21">
        <f>'Summary Medians'!$F149</f>
        <v>4600</v>
      </c>
      <c r="F121" s="35">
        <f>+'Summary Medians'!$F$150</f>
        <v>3650</v>
      </c>
      <c r="G121" s="22">
        <f>+'Summary Medians'!$F$151</f>
        <v>0</v>
      </c>
      <c r="H121" s="25">
        <f>+'Summary Medians'!$F$152</f>
        <v>0</v>
      </c>
      <c r="I121" s="46">
        <f>+'Summary Medians'!$F$153</f>
        <v>0</v>
      </c>
      <c r="J121" s="20">
        <f>+'Summary Medians'!$F$154</f>
        <v>0</v>
      </c>
    </row>
    <row r="122" spans="1:10">
      <c r="A122" s="2" t="s">
        <v>147</v>
      </c>
      <c r="B122" s="21">
        <f>'Summary Medians'!$F163</f>
        <v>0</v>
      </c>
      <c r="C122" s="21">
        <f>'Summary Medians'!$F164</f>
        <v>7553</v>
      </c>
      <c r="D122" s="21">
        <f>'Summary Medians'!$F165</f>
        <v>7545.4</v>
      </c>
      <c r="E122" s="21">
        <f>'Summary Medians'!$F166</f>
        <v>7536</v>
      </c>
      <c r="F122" s="35">
        <f>+'Summary Medians'!$F$167</f>
        <v>7546.7</v>
      </c>
      <c r="G122" s="22">
        <f>+'Summary Medians'!$F$168</f>
        <v>0</v>
      </c>
      <c r="H122" s="25">
        <f>+'Summary Medians'!$F$169</f>
        <v>0</v>
      </c>
      <c r="I122" s="46">
        <f>+'Summary Medians'!$F$170</f>
        <v>0</v>
      </c>
      <c r="J122" s="19">
        <f>+'Summary Medians'!$F$171</f>
        <v>0</v>
      </c>
    </row>
    <row r="123" spans="1:10">
      <c r="A123" s="2" t="s">
        <v>148</v>
      </c>
      <c r="B123" s="21">
        <f>'Summary Medians'!$F180</f>
        <v>9142.5</v>
      </c>
      <c r="C123" s="21">
        <f>'Summary Medians'!$F181</f>
        <v>7047.4500000000007</v>
      </c>
      <c r="D123" s="21">
        <f>'Summary Medians'!$F182</f>
        <v>7394.1</v>
      </c>
      <c r="E123" s="21">
        <f>'Summary Medians'!$F183</f>
        <v>6243.3</v>
      </c>
      <c r="F123" s="35">
        <f>+'Summary Medians'!$F$184</f>
        <v>6550.95</v>
      </c>
      <c r="G123" s="22">
        <f>+'Summary Medians'!$F$185</f>
        <v>3600</v>
      </c>
      <c r="H123" s="25">
        <f>+'Summary Medians'!$F$186</f>
        <v>2250</v>
      </c>
      <c r="I123" s="46">
        <f>+'Summary Medians'!$F$187</f>
        <v>0</v>
      </c>
      <c r="J123" s="19">
        <f>+'Summary Medians'!$F$188</f>
        <v>2250</v>
      </c>
    </row>
    <row r="124" spans="1:10">
      <c r="A124" s="2" t="s">
        <v>149</v>
      </c>
      <c r="B124" s="21">
        <f>'Summary Medians'!$F197</f>
        <v>14576</v>
      </c>
      <c r="C124" s="21">
        <f>'Summary Medians'!$F198</f>
        <v>6912</v>
      </c>
      <c r="D124" s="21">
        <f>'Summary Medians'!$F199</f>
        <v>5372</v>
      </c>
      <c r="E124" s="21">
        <f>'Summary Medians'!$F200</f>
        <v>9881</v>
      </c>
      <c r="F124" s="35">
        <f>+'Summary Medians'!$F$201</f>
        <v>6912</v>
      </c>
      <c r="G124" s="22">
        <f>+'Summary Medians'!$F$202</f>
        <v>0</v>
      </c>
      <c r="H124" s="25">
        <f>+'Summary Medians'!$F$203</f>
        <v>0</v>
      </c>
      <c r="I124" s="46">
        <f>+'Summary Medians'!$F$204</f>
        <v>0</v>
      </c>
      <c r="J124" s="19">
        <f>+'Summary Medians'!$F$205</f>
        <v>0</v>
      </c>
    </row>
    <row r="125" spans="1:10">
      <c r="A125" s="2"/>
      <c r="B125" s="21"/>
      <c r="C125" s="21"/>
      <c r="D125" s="21"/>
      <c r="E125" s="21"/>
      <c r="F125" s="35"/>
      <c r="G125" s="22"/>
      <c r="H125" s="25"/>
      <c r="I125" s="46"/>
      <c r="J125" s="19"/>
    </row>
    <row r="126" spans="1:10">
      <c r="A126" s="2" t="s">
        <v>150</v>
      </c>
      <c r="B126" s="21">
        <f>'Summary Medians'!$F214</f>
        <v>0</v>
      </c>
      <c r="C126" s="21">
        <f>'Summary Medians'!$F215</f>
        <v>10297</v>
      </c>
      <c r="D126" s="21">
        <f>'Summary Medians'!$F216</f>
        <v>10267</v>
      </c>
      <c r="E126" s="21">
        <f>'Summary Medians'!$F217</f>
        <v>10277</v>
      </c>
      <c r="F126" s="35">
        <f>+'Summary Medians'!$F$218</f>
        <v>10275</v>
      </c>
      <c r="G126" s="22">
        <f>+'Summary Medians'!$F$219</f>
        <v>0</v>
      </c>
      <c r="H126" s="25">
        <f>+'Summary Medians'!$F$220</f>
        <v>0</v>
      </c>
      <c r="I126" s="46">
        <f>+'Summary Medians'!$F$221</f>
        <v>0</v>
      </c>
      <c r="J126" s="19">
        <f>+'Summary Medians'!$F$222</f>
        <v>0</v>
      </c>
    </row>
    <row r="127" spans="1:10">
      <c r="A127" s="6" t="s">
        <v>151</v>
      </c>
      <c r="B127" s="21">
        <f>'Summary Medians'!$F231</f>
        <v>3432</v>
      </c>
      <c r="C127" s="21">
        <f>'Summary Medians'!$F232</f>
        <v>3470</v>
      </c>
      <c r="D127" s="21">
        <f>'Summary Medians'!$F233</f>
        <v>3450</v>
      </c>
      <c r="E127" s="21">
        <f>'Summary Medians'!$F234</f>
        <v>3480</v>
      </c>
      <c r="F127" s="35">
        <f>+'Summary Medians'!$F$235</f>
        <v>3450</v>
      </c>
      <c r="G127" s="22">
        <f>+'Summary Medians'!$F$236</f>
        <v>0</v>
      </c>
      <c r="H127" s="25">
        <f>+'Summary Medians'!$F$237</f>
        <v>0</v>
      </c>
      <c r="I127" s="46">
        <f>+'Summary Medians'!$F$238</f>
        <v>0</v>
      </c>
      <c r="J127" s="19">
        <f>+'Summary Medians'!$F$239</f>
        <v>0</v>
      </c>
    </row>
    <row r="128" spans="1:10">
      <c r="A128" s="2" t="s">
        <v>217</v>
      </c>
      <c r="B128" s="21">
        <f>'Summary Medians'!$F248</f>
        <v>0</v>
      </c>
      <c r="C128" s="21">
        <f>'Summary Medians'!$F249</f>
        <v>7839</v>
      </c>
      <c r="D128" s="21">
        <f>'Summary Medians'!$F250</f>
        <v>7839</v>
      </c>
      <c r="E128" s="21">
        <f>'Summary Medians'!$F251</f>
        <v>7839</v>
      </c>
      <c r="F128" s="35">
        <f>+'Summary Medians'!$F$252</f>
        <v>7839</v>
      </c>
      <c r="G128" s="22">
        <f>+'Summary Medians'!$F$253</f>
        <v>0</v>
      </c>
      <c r="H128" s="25">
        <f>+'Summary Medians'!$F$254</f>
        <v>0</v>
      </c>
      <c r="I128" s="46">
        <f>+'Summary Medians'!$F$255</f>
        <v>0</v>
      </c>
      <c r="J128" s="19">
        <f>+'Summary Medians'!$F$256</f>
        <v>0</v>
      </c>
    </row>
    <row r="129" spans="1:10">
      <c r="A129" s="8" t="s">
        <v>153</v>
      </c>
      <c r="B129" s="23">
        <f>'Summary Medians'!$F265</f>
        <v>7720</v>
      </c>
      <c r="C129" s="23">
        <f>'Summary Medians'!$F266</f>
        <v>0</v>
      </c>
      <c r="D129" s="23">
        <f>'Summary Medians'!$F267</f>
        <v>0</v>
      </c>
      <c r="E129" s="23">
        <f>'Summary Medians'!$F268</f>
        <v>6912</v>
      </c>
      <c r="F129" s="36">
        <f>+'Summary Medians'!$F$269</f>
        <v>6912</v>
      </c>
      <c r="G129" s="24">
        <f>+'Summary Medians'!$F$270</f>
        <v>0</v>
      </c>
      <c r="H129" s="23">
        <f>+'Summary Medians'!$F$271</f>
        <v>0</v>
      </c>
      <c r="I129" s="48">
        <f>+'Summary Medians'!$F$272</f>
        <v>0</v>
      </c>
      <c r="J129" s="23">
        <f>+'Summary Medians'!$F$273</f>
        <v>0</v>
      </c>
    </row>
    <row r="130" spans="1:10" ht="21" customHeight="1">
      <c r="A130" s="128" t="s">
        <v>877</v>
      </c>
      <c r="B130" s="1"/>
      <c r="C130" s="1"/>
      <c r="D130" s="1"/>
      <c r="E130" s="1"/>
      <c r="F130" s="1"/>
      <c r="G130" s="1"/>
      <c r="H130" s="1"/>
      <c r="I130" s="1"/>
      <c r="J130" s="30"/>
    </row>
    <row r="131" spans="1:10" ht="61.5" customHeight="1">
      <c r="A131" s="566" t="s">
        <v>344</v>
      </c>
      <c r="B131" s="566"/>
      <c r="C131" s="566"/>
      <c r="D131" s="566"/>
      <c r="E131" s="566"/>
      <c r="F131" s="566"/>
      <c r="G131" s="566"/>
      <c r="H131" s="566"/>
      <c r="I131" s="566"/>
      <c r="J131" s="566"/>
    </row>
    <row r="132" spans="1:10" ht="15.75">
      <c r="A132" s="475"/>
      <c r="B132" s="475"/>
      <c r="C132" s="475"/>
      <c r="D132" s="475"/>
      <c r="E132" s="475"/>
      <c r="F132" s="475"/>
      <c r="G132" s="475"/>
      <c r="H132" s="475"/>
      <c r="I132" s="475"/>
      <c r="J132" s="129" t="s">
        <v>1116</v>
      </c>
    </row>
    <row r="133" spans="1:10" ht="18">
      <c r="A133" s="564" t="s">
        <v>287</v>
      </c>
      <c r="B133" s="564"/>
      <c r="C133" s="564"/>
      <c r="D133" s="564"/>
      <c r="E133" s="564"/>
      <c r="F133" s="564"/>
      <c r="G133" s="564"/>
      <c r="H133" s="564"/>
    </row>
    <row r="134" spans="1:10" ht="18">
      <c r="A134" s="471"/>
      <c r="B134" s="471"/>
      <c r="C134" s="471"/>
      <c r="D134" s="471"/>
      <c r="E134" s="471"/>
      <c r="F134" s="471"/>
      <c r="G134" s="471"/>
      <c r="H134" s="272"/>
    </row>
    <row r="135" spans="1:10" ht="15.75">
      <c r="A135" s="565" t="s">
        <v>136</v>
      </c>
      <c r="B135" s="565"/>
      <c r="C135" s="565"/>
      <c r="D135" s="565"/>
      <c r="E135" s="565"/>
      <c r="F135" s="565"/>
      <c r="G135" s="565"/>
      <c r="H135" s="565"/>
    </row>
    <row r="136" spans="1:10" ht="15.75">
      <c r="A136" s="565" t="s">
        <v>155</v>
      </c>
      <c r="B136" s="565"/>
      <c r="C136" s="565"/>
      <c r="D136" s="565"/>
      <c r="E136" s="565"/>
      <c r="F136" s="565"/>
      <c r="G136" s="565"/>
      <c r="H136" s="565"/>
    </row>
    <row r="137" spans="1:10" ht="15.75">
      <c r="A137" s="565" t="s">
        <v>1129</v>
      </c>
      <c r="B137" s="565"/>
      <c r="C137" s="565"/>
      <c r="D137" s="565"/>
      <c r="E137" s="565"/>
      <c r="F137" s="565"/>
      <c r="G137" s="565"/>
      <c r="H137" s="565"/>
    </row>
    <row r="138" spans="1:10" ht="15.75">
      <c r="A138" s="2"/>
      <c r="B138" s="2"/>
      <c r="C138" s="2"/>
      <c r="D138" s="2"/>
      <c r="E138" s="2"/>
      <c r="F138" s="2"/>
      <c r="G138" s="2"/>
      <c r="H138" s="272"/>
    </row>
    <row r="139" spans="1:10">
      <c r="A139" s="11"/>
      <c r="B139" s="11" t="s">
        <v>138</v>
      </c>
      <c r="C139" s="11"/>
      <c r="D139" s="11"/>
      <c r="E139" s="11"/>
      <c r="F139" s="11"/>
      <c r="G139" s="11"/>
      <c r="H139" s="114"/>
    </row>
    <row r="140" spans="1:10">
      <c r="A140" s="78"/>
      <c r="B140" s="79">
        <v>1</v>
      </c>
      <c r="C140" s="79">
        <v>2</v>
      </c>
      <c r="D140" s="79">
        <v>3</v>
      </c>
      <c r="E140" s="79">
        <v>4</v>
      </c>
      <c r="F140" s="79">
        <v>5</v>
      </c>
      <c r="G140" s="79">
        <v>6</v>
      </c>
      <c r="H140" s="107" t="s">
        <v>631</v>
      </c>
    </row>
    <row r="141" spans="1:10" ht="15.75">
      <c r="A141" s="475"/>
      <c r="B141" s="478"/>
      <c r="C141" s="478"/>
      <c r="D141" s="478"/>
      <c r="E141" s="478"/>
      <c r="F141" s="478"/>
      <c r="G141" s="479"/>
      <c r="H141" s="272"/>
    </row>
    <row r="142" spans="1:10">
      <c r="A142" s="6" t="s">
        <v>316</v>
      </c>
      <c r="B142" s="66">
        <f>+'Summary Medians'!$I$275</f>
        <v>7210.6</v>
      </c>
      <c r="C142" s="66">
        <f>+'Summary Medians'!$I$276</f>
        <v>6446.6</v>
      </c>
      <c r="D142" s="66">
        <f>+'Summary Medians'!$I$277</f>
        <v>5758</v>
      </c>
      <c r="E142" s="66">
        <f>+'Summary Medians'!$I$278</f>
        <v>5454</v>
      </c>
      <c r="F142" s="66">
        <f>+'Summary Medians'!$I$279</f>
        <v>4476.5</v>
      </c>
      <c r="G142" s="66">
        <f>+'Summary Medians'!$I$280</f>
        <v>5058</v>
      </c>
      <c r="H142" s="108">
        <f>+'Summary Medians'!$I$281</f>
        <v>5851.2</v>
      </c>
    </row>
    <row r="143" spans="1:10">
      <c r="A143" s="6"/>
      <c r="B143" s="25"/>
      <c r="C143" s="25"/>
      <c r="D143" s="25"/>
      <c r="E143" s="25"/>
      <c r="F143" s="25"/>
      <c r="G143" s="474"/>
      <c r="H143" s="109"/>
    </row>
    <row r="144" spans="1:10">
      <c r="A144" s="2" t="s">
        <v>139</v>
      </c>
      <c r="B144" s="21">
        <f>+'Summary Medians'!$I$3</f>
        <v>6400</v>
      </c>
      <c r="C144" s="21">
        <f>+'Summary Medians'!$I$4</f>
        <v>7344</v>
      </c>
      <c r="D144" s="21">
        <f>+'Summary Medians'!$I$5</f>
        <v>5820</v>
      </c>
      <c r="E144" s="21">
        <f>+'Summary Medians'!$I$6</f>
        <v>5586</v>
      </c>
      <c r="F144" s="21">
        <f>+'Summary Medians'!$I$7</f>
        <v>5605</v>
      </c>
      <c r="G144" s="21">
        <f>+'Summary Medians'!$I$8</f>
        <v>0</v>
      </c>
      <c r="H144" s="109">
        <f>+'Summary Medians'!$I$9</f>
        <v>5768</v>
      </c>
    </row>
    <row r="145" spans="1:8">
      <c r="A145" s="2" t="s">
        <v>140</v>
      </c>
      <c r="B145" s="21">
        <f>+'Summary Medians'!$I$20</f>
        <v>8141</v>
      </c>
      <c r="C145" s="21">
        <f>+'Summary Medians'!$I$21</f>
        <v>0</v>
      </c>
      <c r="D145" s="21">
        <f>+'Summary Medians'!$I$22</f>
        <v>6190</v>
      </c>
      <c r="E145" s="21">
        <f>+'Summary Medians'!$I$23</f>
        <v>5425.5</v>
      </c>
      <c r="F145" s="21">
        <f>+'Summary Medians'!$I$24</f>
        <v>5161</v>
      </c>
      <c r="G145" s="21">
        <f>+'Summary Medians'!$I$25</f>
        <v>4544</v>
      </c>
      <c r="H145" s="109">
        <f>+'Summary Medians'!$I$26</f>
        <v>5899</v>
      </c>
    </row>
    <row r="146" spans="1:8">
      <c r="A146" s="2" t="s">
        <v>211</v>
      </c>
      <c r="B146" s="21">
        <f>+'Summary Medians'!$I$37</f>
        <v>8466</v>
      </c>
      <c r="C146" s="21">
        <f>+'Summary Medians'!$I$38</f>
        <v>0</v>
      </c>
      <c r="D146" s="21">
        <f>+'Summary Medians'!$I$39</f>
        <v>0</v>
      </c>
      <c r="E146" s="21">
        <f>+'Summary Medians'!$I$40</f>
        <v>6914</v>
      </c>
      <c r="F146" s="21">
        <f>+'Summary Medians'!$I$41</f>
        <v>0</v>
      </c>
      <c r="G146" s="21">
        <f>+'Summary Medians'!$I$42</f>
        <v>0</v>
      </c>
      <c r="H146" s="109">
        <f>+'Summary Medians'!$I$43</f>
        <v>0</v>
      </c>
    </row>
    <row r="147" spans="1:8">
      <c r="A147" s="6" t="s">
        <v>141</v>
      </c>
      <c r="B147" s="21">
        <f>+'Summary Medians'!$I$54</f>
        <v>7072</v>
      </c>
      <c r="C147" s="21">
        <f>+'Summary Medians'!$I$55</f>
        <v>6610</v>
      </c>
      <c r="D147" s="21">
        <f>+'Summary Medians'!$I$56</f>
        <v>6088</v>
      </c>
      <c r="E147" s="21">
        <f>+'Summary Medians'!$I$57</f>
        <v>6163</v>
      </c>
      <c r="F147" s="21">
        <f>+'Summary Medians'!$I$58</f>
        <v>0</v>
      </c>
      <c r="G147" s="21">
        <f>+'Summary Medians'!$I$59</f>
        <v>0</v>
      </c>
      <c r="H147" s="109">
        <f>+'Summary Medians'!$I$60</f>
        <v>6756.5</v>
      </c>
    </row>
    <row r="148" spans="1:8">
      <c r="A148" s="6"/>
      <c r="B148" s="21"/>
      <c r="C148" s="21"/>
      <c r="D148" s="21"/>
      <c r="E148" s="21"/>
      <c r="F148" s="21"/>
      <c r="G148" s="21"/>
      <c r="H148" s="109"/>
    </row>
    <row r="149" spans="1:8">
      <c r="A149" s="6" t="s">
        <v>142</v>
      </c>
      <c r="B149" s="21">
        <f>+'Summary Medians'!$I$71</f>
        <v>6796</v>
      </c>
      <c r="C149" s="21">
        <f>+'Summary Medians'!$I$72</f>
        <v>6854</v>
      </c>
      <c r="D149" s="21">
        <f>+'Summary Medians'!$I$73</f>
        <v>4988</v>
      </c>
      <c r="E149" s="21">
        <f>+'Summary Medians'!$I$74</f>
        <v>4330</v>
      </c>
      <c r="F149" s="21">
        <f>+'Summary Medians'!$I$75</f>
        <v>4128</v>
      </c>
      <c r="G149" s="21">
        <f>+'Summary Medians'!$I$76</f>
        <v>4408</v>
      </c>
      <c r="H149" s="109">
        <f>+'Summary Medians'!$I$77</f>
        <v>4530</v>
      </c>
    </row>
    <row r="150" spans="1:8">
      <c r="A150" s="2" t="s">
        <v>143</v>
      </c>
      <c r="B150" s="21">
        <f>+'Summary Medians'!$I$88</f>
        <v>8283</v>
      </c>
      <c r="C150" s="21">
        <f>+'Summary Medians'!$I$89</f>
        <v>0</v>
      </c>
      <c r="D150" s="21">
        <f>+'Summary Medians'!$I$90</f>
        <v>6632</v>
      </c>
      <c r="E150" s="21">
        <f>+'Summary Medians'!$I$91</f>
        <v>8484</v>
      </c>
      <c r="F150" s="21">
        <f>+'Summary Medians'!$I$92</f>
        <v>5850</v>
      </c>
      <c r="G150" s="21">
        <f>+'Summary Medians'!$I$93</f>
        <v>0</v>
      </c>
      <c r="H150" s="109">
        <f>+'Summary Medians'!$I$94</f>
        <v>7876</v>
      </c>
    </row>
    <row r="151" spans="1:8">
      <c r="A151" s="2" t="s">
        <v>144</v>
      </c>
      <c r="B151" s="21">
        <f>+'Summary Medians'!$I$105</f>
        <v>5013.8</v>
      </c>
      <c r="C151" s="21">
        <f>+'Summary Medians'!$I$106</f>
        <v>4222</v>
      </c>
      <c r="D151" s="21">
        <f>+'Summary Medians'!$I$107</f>
        <v>3814.9</v>
      </c>
      <c r="E151" s="21">
        <f>+'Summary Medians'!$I$108</f>
        <v>3786</v>
      </c>
      <c r="F151" s="21">
        <f>+'Summary Medians'!$I$109</f>
        <v>0</v>
      </c>
      <c r="G151" s="21">
        <f>+'Summary Medians'!$I$110</f>
        <v>0</v>
      </c>
      <c r="H151" s="109">
        <f>+'Summary Medians'!$I$111</f>
        <v>3814.9</v>
      </c>
    </row>
    <row r="152" spans="1:8">
      <c r="A152" s="6" t="s">
        <v>145</v>
      </c>
      <c r="B152" s="21">
        <f>+'Summary Medians'!$I$122</f>
        <v>15609</v>
      </c>
      <c r="C152" s="21">
        <f>+'Summary Medians'!$I$123</f>
        <v>12888</v>
      </c>
      <c r="D152" s="21">
        <f>+'Summary Medians'!$I$124</f>
        <v>9012</v>
      </c>
      <c r="E152" s="21">
        <f>+'Summary Medians'!$I$125</f>
        <v>8968</v>
      </c>
      <c r="F152" s="21">
        <f>+'Summary Medians'!$I$126</f>
        <v>0</v>
      </c>
      <c r="G152" s="21">
        <f>+'Summary Medians'!$I$127</f>
        <v>12604</v>
      </c>
      <c r="H152" s="109">
        <f>+'Summary Medians'!$I$128</f>
        <v>9412</v>
      </c>
    </row>
    <row r="153" spans="1:8">
      <c r="A153" s="6"/>
      <c r="B153" s="21"/>
      <c r="C153" s="21"/>
      <c r="D153" s="21"/>
      <c r="E153" s="21"/>
      <c r="F153" s="21"/>
      <c r="G153" s="21"/>
      <c r="H153" s="109"/>
    </row>
    <row r="154" spans="1:8">
      <c r="A154" s="2" t="s">
        <v>146</v>
      </c>
      <c r="B154" s="21">
        <f>+'Summary Medians'!$I$139</f>
        <v>5123.5</v>
      </c>
      <c r="C154" s="21">
        <f>+'Summary Medians'!$I$140</f>
        <v>4870.5</v>
      </c>
      <c r="D154" s="21">
        <f>+'Summary Medians'!$I$141</f>
        <v>0</v>
      </c>
      <c r="E154" s="21">
        <f>+'Summary Medians'!$I$142</f>
        <v>4498</v>
      </c>
      <c r="F154" s="21">
        <f>+'Summary Medians'!$I$143</f>
        <v>4423</v>
      </c>
      <c r="G154" s="21">
        <f>+'Summary Medians'!$I$144</f>
        <v>0</v>
      </c>
      <c r="H154" s="109">
        <f>+'Summary Medians'!$I$145</f>
        <v>4604.5</v>
      </c>
    </row>
    <row r="155" spans="1:8">
      <c r="A155" s="2" t="s">
        <v>147</v>
      </c>
      <c r="B155" s="21">
        <f>+'Summary Medians'!$I$156</f>
        <v>6193</v>
      </c>
      <c r="C155" s="21">
        <f>+'Summary Medians'!$I$157</f>
        <v>4612.5</v>
      </c>
      <c r="D155" s="21">
        <f>+'Summary Medians'!$I$158</f>
        <v>4578.5</v>
      </c>
      <c r="E155" s="21">
        <f>+'Summary Medians'!$I$159</f>
        <v>3336</v>
      </c>
      <c r="F155" s="21">
        <f>+'Summary Medians'!$I$160</f>
        <v>3555</v>
      </c>
      <c r="G155" s="21">
        <f>+'Summary Medians'!$I$161</f>
        <v>3782</v>
      </c>
      <c r="H155" s="109">
        <f>+'Summary Medians'!$I$162</f>
        <v>4527</v>
      </c>
    </row>
    <row r="156" spans="1:8">
      <c r="A156" s="2" t="s">
        <v>148</v>
      </c>
      <c r="B156" s="21">
        <f>+'Summary Medians'!$I$173</f>
        <v>5824.08</v>
      </c>
      <c r="C156" s="21">
        <f>+'Summary Medians'!$I$174</f>
        <v>0</v>
      </c>
      <c r="D156" s="21">
        <f>+'Summary Medians'!$I$175</f>
        <v>4324.7999999999993</v>
      </c>
      <c r="E156" s="21">
        <f>+'Summary Medians'!$I$176</f>
        <v>0</v>
      </c>
      <c r="F156" s="21">
        <f>+'Summary Medians'!$I$177</f>
        <v>3975.6000000000004</v>
      </c>
      <c r="G156" s="21">
        <f>+'Summary Medians'!$I$178</f>
        <v>0</v>
      </c>
      <c r="H156" s="109">
        <f>+'Summary Medians'!$I$179</f>
        <v>4088.76</v>
      </c>
    </row>
    <row r="157" spans="1:8">
      <c r="A157" s="2" t="s">
        <v>149</v>
      </c>
      <c r="B157" s="21">
        <f>+'Summary Medians'!$I$190</f>
        <v>8540</v>
      </c>
      <c r="C157" s="21">
        <f>+'Summary Medians'!$I$191</f>
        <v>0</v>
      </c>
      <c r="D157" s="21">
        <f>+'Summary Medians'!$I$192</f>
        <v>9785</v>
      </c>
      <c r="E157" s="21">
        <f>+'Summary Medians'!$I$193</f>
        <v>7815</v>
      </c>
      <c r="F157" s="21">
        <f>+'Summary Medians'!$I$194</f>
        <v>7806</v>
      </c>
      <c r="G157" s="21">
        <f>+'Summary Medians'!$I$195</f>
        <v>9836</v>
      </c>
      <c r="H157" s="109">
        <f>+'Summary Medians'!$I$196</f>
        <v>8820</v>
      </c>
    </row>
    <row r="158" spans="1:8" ht="15.75">
      <c r="A158" s="2"/>
      <c r="B158" s="475"/>
      <c r="C158" s="475"/>
      <c r="D158" s="475"/>
      <c r="E158" s="475"/>
      <c r="F158" s="475"/>
      <c r="G158" s="475"/>
      <c r="H158" s="477"/>
    </row>
    <row r="159" spans="1:8">
      <c r="A159" s="2" t="s">
        <v>150</v>
      </c>
      <c r="B159" s="21">
        <f>+'Summary Medians'!$I$207</f>
        <v>7236</v>
      </c>
      <c r="C159" s="21">
        <f>+'Summary Medians'!$I$208</f>
        <v>0</v>
      </c>
      <c r="D159" s="21">
        <f>+'Summary Medians'!$I$209</f>
        <v>6671</v>
      </c>
      <c r="E159" s="21">
        <f>+'Summary Medians'!$I$210</f>
        <v>6996</v>
      </c>
      <c r="F159" s="21">
        <f>+'Summary Medians'!$I$211</f>
        <v>6084</v>
      </c>
      <c r="G159" s="21">
        <f>+'Summary Medians'!$I$212</f>
        <v>0</v>
      </c>
      <c r="H159" s="109">
        <f>+'Summary Medians'!$I$213</f>
        <v>6714</v>
      </c>
    </row>
    <row r="160" spans="1:8">
      <c r="A160" s="6" t="s">
        <v>151</v>
      </c>
      <c r="B160" s="21">
        <f>+'Summary Medians'!$I$224</f>
        <v>8551.1999999999989</v>
      </c>
      <c r="C160" s="21">
        <f>+'Summary Medians'!$I$225</f>
        <v>7027.2</v>
      </c>
      <c r="D160" s="21">
        <f>+'Summary Medians'!$I$226</f>
        <v>5405.4</v>
      </c>
      <c r="E160" s="21">
        <f>+'Summary Medians'!$I$227</f>
        <v>4747.7999999999993</v>
      </c>
      <c r="F160" s="21">
        <f>+'Summary Medians'!$I$228</f>
        <v>4665.6000000000004</v>
      </c>
      <c r="G160" s="21">
        <f>+'Summary Medians'!$I$229</f>
        <v>7880.4</v>
      </c>
      <c r="H160" s="109">
        <f>+'Summary Medians'!$I$230</f>
        <v>5928</v>
      </c>
    </row>
    <row r="161" spans="1:8">
      <c r="A161" s="2" t="s">
        <v>152</v>
      </c>
      <c r="B161" s="21">
        <f>+'Summary Medians'!$I$241</f>
        <v>9735</v>
      </c>
      <c r="C161" s="21">
        <f>+'Summary Medians'!$I$242</f>
        <v>9478</v>
      </c>
      <c r="D161" s="21">
        <f>+'Summary Medians'!$I$243</f>
        <v>7101</v>
      </c>
      <c r="E161" s="21">
        <f>+'Summary Medians'!$I$244</f>
        <v>7376</v>
      </c>
      <c r="F161" s="21">
        <f>+'Summary Medians'!$I$245</f>
        <v>6413</v>
      </c>
      <c r="G161" s="21">
        <f>+'Summary Medians'!$I$246</f>
        <v>0</v>
      </c>
      <c r="H161" s="109">
        <f>+'Summary Medians'!$I$247</f>
        <v>7780</v>
      </c>
    </row>
    <row r="162" spans="1:8">
      <c r="A162" s="8" t="s">
        <v>153</v>
      </c>
      <c r="B162" s="26">
        <f>+'Summary Medians'!$I$258</f>
        <v>5612</v>
      </c>
      <c r="C162" s="26">
        <f>+'Summary Medians'!$I$259</f>
        <v>0</v>
      </c>
      <c r="D162" s="26">
        <f>+'Summary Medians'!$I$260</f>
        <v>5160</v>
      </c>
      <c r="E162" s="26">
        <f>+'Summary Medians'!$I$261</f>
        <v>0</v>
      </c>
      <c r="F162" s="26">
        <f>+'Summary Medians'!$I$262</f>
        <v>5240</v>
      </c>
      <c r="G162" s="26">
        <f>+'Summary Medians'!$I$263</f>
        <v>4990</v>
      </c>
      <c r="H162" s="111">
        <f>+'Summary Medians'!$I$264</f>
        <v>5160</v>
      </c>
    </row>
    <row r="163" spans="1:8" ht="15.75">
      <c r="A163" s="475"/>
      <c r="B163" s="478"/>
      <c r="C163" s="478"/>
      <c r="D163" s="478"/>
      <c r="E163" s="478"/>
      <c r="F163" s="478"/>
      <c r="G163" s="478"/>
      <c r="H163" s="272"/>
    </row>
    <row r="164" spans="1:8" ht="39.75" customHeight="1">
      <c r="A164" s="563" t="s">
        <v>436</v>
      </c>
      <c r="B164" s="563"/>
      <c r="C164" s="563"/>
      <c r="D164" s="563"/>
      <c r="E164" s="563"/>
      <c r="F164" s="563"/>
      <c r="G164" s="563"/>
      <c r="H164" s="563"/>
    </row>
    <row r="165" spans="1:8" ht="15.75">
      <c r="A165" s="272"/>
      <c r="B165" s="272"/>
      <c r="C165" s="272"/>
      <c r="D165" s="272"/>
      <c r="E165" s="272"/>
      <c r="F165" s="272"/>
      <c r="G165" s="272"/>
      <c r="H165" s="129" t="s">
        <v>1116</v>
      </c>
    </row>
    <row r="166" spans="1:8" ht="18">
      <c r="A166" s="564" t="s">
        <v>288</v>
      </c>
      <c r="B166" s="564"/>
      <c r="C166" s="564"/>
      <c r="D166" s="564"/>
      <c r="E166" s="564"/>
      <c r="F166" s="564"/>
      <c r="G166" s="564"/>
      <c r="H166" s="564"/>
    </row>
    <row r="167" spans="1:8">
      <c r="A167" s="72"/>
      <c r="B167" s="72"/>
      <c r="C167" s="72"/>
      <c r="D167" s="72"/>
      <c r="E167" s="72"/>
      <c r="F167" s="72"/>
      <c r="G167" s="72"/>
      <c r="H167" s="116"/>
    </row>
    <row r="168" spans="1:8" ht="15.75">
      <c r="A168" s="565" t="s">
        <v>136</v>
      </c>
      <c r="B168" s="565"/>
      <c r="C168" s="565"/>
      <c r="D168" s="565"/>
      <c r="E168" s="565"/>
      <c r="F168" s="565"/>
      <c r="G168" s="565"/>
      <c r="H168" s="565"/>
    </row>
    <row r="169" spans="1:8" ht="15.75">
      <c r="A169" s="565" t="s">
        <v>458</v>
      </c>
      <c r="B169" s="565"/>
      <c r="C169" s="565"/>
      <c r="D169" s="565"/>
      <c r="E169" s="565"/>
      <c r="F169" s="565"/>
      <c r="G169" s="565"/>
      <c r="H169" s="565"/>
    </row>
    <row r="170" spans="1:8" ht="15.75">
      <c r="A170" s="565" t="s">
        <v>1129</v>
      </c>
      <c r="B170" s="565"/>
      <c r="C170" s="565"/>
      <c r="D170" s="565"/>
      <c r="E170" s="565"/>
      <c r="F170" s="565"/>
      <c r="G170" s="565"/>
      <c r="H170" s="565"/>
    </row>
    <row r="171" spans="1:8">
      <c r="A171" s="2"/>
      <c r="B171" s="2"/>
      <c r="C171" s="2"/>
      <c r="D171" s="2"/>
      <c r="E171" s="71"/>
      <c r="F171" s="71"/>
      <c r="G171" s="71"/>
      <c r="H171" s="117"/>
    </row>
    <row r="172" spans="1:8">
      <c r="A172" s="11"/>
      <c r="B172" s="11" t="s">
        <v>138</v>
      </c>
      <c r="C172" s="11"/>
      <c r="D172" s="11"/>
      <c r="E172" s="11"/>
      <c r="F172" s="11"/>
      <c r="G172" s="37"/>
      <c r="H172" s="118"/>
    </row>
    <row r="173" spans="1:8">
      <c r="A173" s="78"/>
      <c r="B173" s="79">
        <v>1</v>
      </c>
      <c r="C173" s="79">
        <v>2</v>
      </c>
      <c r="D173" s="79">
        <v>3</v>
      </c>
      <c r="E173" s="79">
        <v>4</v>
      </c>
      <c r="F173" s="79">
        <v>5</v>
      </c>
      <c r="G173" s="79">
        <v>6</v>
      </c>
      <c r="H173" s="107" t="s">
        <v>631</v>
      </c>
    </row>
    <row r="174" spans="1:8" ht="15.75">
      <c r="A174" s="475"/>
      <c r="B174" s="475"/>
      <c r="C174" s="475"/>
      <c r="D174" s="475"/>
      <c r="E174" s="475"/>
      <c r="F174" s="475"/>
      <c r="G174" s="476"/>
      <c r="H174" s="272"/>
    </row>
    <row r="175" spans="1:8">
      <c r="A175" s="6" t="s">
        <v>316</v>
      </c>
      <c r="B175" s="66">
        <f>+'Summary Medians'!$L$275</f>
        <v>18151</v>
      </c>
      <c r="C175" s="66">
        <f>+'Summary Medians'!$L$276</f>
        <v>15351.5</v>
      </c>
      <c r="D175" s="66">
        <f>+'Summary Medians'!$L$277</f>
        <v>13304</v>
      </c>
      <c r="E175" s="66">
        <f>+'Summary Medians'!$L$278</f>
        <v>12345.3</v>
      </c>
      <c r="F175" s="66">
        <f>+'Summary Medians'!$L$279</f>
        <v>11559</v>
      </c>
      <c r="G175" s="66">
        <f>+'Summary Medians'!$L$280</f>
        <v>14907.599999999999</v>
      </c>
      <c r="H175" s="108">
        <f>+'Summary Medians'!$L$281</f>
        <v>14126.5</v>
      </c>
    </row>
    <row r="176" spans="1:8">
      <c r="A176" s="6"/>
      <c r="B176" s="25"/>
      <c r="C176" s="25"/>
      <c r="D176" s="25"/>
      <c r="E176" s="25"/>
      <c r="F176" s="25"/>
      <c r="G176" s="474"/>
      <c r="H176" s="109"/>
    </row>
    <row r="177" spans="1:8">
      <c r="A177" s="2" t="s">
        <v>139</v>
      </c>
      <c r="B177" s="21">
        <f>+'Summary Medians'!$L$3</f>
        <v>18000</v>
      </c>
      <c r="C177" s="21">
        <f>+'Summary Medians'!$L$4</f>
        <v>16154</v>
      </c>
      <c r="D177" s="21">
        <f>+'Summary Medians'!$L$5</f>
        <v>10764</v>
      </c>
      <c r="E177" s="21">
        <f>+'Summary Medians'!$L$6</f>
        <v>11508</v>
      </c>
      <c r="F177" s="21">
        <f>+'Summary Medians'!$L$7</f>
        <v>10909</v>
      </c>
      <c r="G177" s="21">
        <f>+'Summary Medians'!$L$8</f>
        <v>0</v>
      </c>
      <c r="H177" s="109">
        <f>+'Summary Medians'!$L$9</f>
        <v>11508</v>
      </c>
    </row>
    <row r="178" spans="1:8">
      <c r="A178" s="2" t="s">
        <v>140</v>
      </c>
      <c r="B178" s="21">
        <f>+'Summary Medians'!$L$20</f>
        <v>17800</v>
      </c>
      <c r="C178" s="21">
        <f>+'Summary Medians'!$L$21</f>
        <v>0</v>
      </c>
      <c r="D178" s="21">
        <f>+'Summary Medians'!$L$22</f>
        <v>13296</v>
      </c>
      <c r="E178" s="21">
        <f>+'Summary Medians'!$L$23</f>
        <v>10081.5</v>
      </c>
      <c r="F178" s="21">
        <f>+'Summary Medians'!$L$24</f>
        <v>8665</v>
      </c>
      <c r="G178" s="21">
        <f>+'Summary Medians'!$L$25</f>
        <v>9176</v>
      </c>
      <c r="H178" s="109">
        <f>+'Summary Medians'!$L$26</f>
        <v>10795</v>
      </c>
    </row>
    <row r="179" spans="1:8">
      <c r="A179" s="2" t="s">
        <v>211</v>
      </c>
      <c r="B179" s="21">
        <f>+'Summary Medians'!$L$37</f>
        <v>20946</v>
      </c>
      <c r="C179" s="21">
        <f>+'Summary Medians'!$L$38</f>
        <v>0</v>
      </c>
      <c r="D179" s="21">
        <f>+'Summary Medians'!$L$39</f>
        <v>0</v>
      </c>
      <c r="E179" s="21">
        <f>+'Summary Medians'!$L$40</f>
        <v>14786</v>
      </c>
      <c r="F179" s="21">
        <f>+'Summary Medians'!$L$41</f>
        <v>0</v>
      </c>
      <c r="G179" s="21">
        <f>+'Summary Medians'!$L$42</f>
        <v>0</v>
      </c>
      <c r="H179" s="109">
        <f>+'Summary Medians'!$L$43</f>
        <v>0</v>
      </c>
    </row>
    <row r="180" spans="1:8">
      <c r="A180" s="6" t="s">
        <v>141</v>
      </c>
      <c r="B180" s="21">
        <f>+'Summary Medians'!$L$54</f>
        <v>21932</v>
      </c>
      <c r="C180" s="21">
        <f>+'Summary Medians'!$L$55</f>
        <v>22101</v>
      </c>
      <c r="D180" s="21">
        <f>+'Summary Medians'!$L$56</f>
        <v>20927</v>
      </c>
      <c r="E180" s="21">
        <f>+'Summary Medians'!$L$57</f>
        <v>22755</v>
      </c>
      <c r="F180" s="21">
        <f>+'Summary Medians'!$L$58</f>
        <v>0</v>
      </c>
      <c r="G180" s="21">
        <f>+'Summary Medians'!$L$59</f>
        <v>0</v>
      </c>
      <c r="H180" s="109">
        <f>+'Summary Medians'!$L$60</f>
        <v>21925.5</v>
      </c>
    </row>
    <row r="181" spans="1:8">
      <c r="A181" s="6"/>
      <c r="B181" s="21"/>
      <c r="C181" s="21"/>
      <c r="D181" s="21"/>
      <c r="E181" s="21"/>
      <c r="F181" s="21"/>
      <c r="G181" s="21"/>
      <c r="H181" s="109"/>
    </row>
    <row r="182" spans="1:8">
      <c r="A182" s="6" t="s">
        <v>142</v>
      </c>
      <c r="B182" s="21">
        <f>+'Summary Medians'!$L$71</f>
        <v>23078</v>
      </c>
      <c r="C182" s="21">
        <f>+'Summary Medians'!$L$72</f>
        <v>24926</v>
      </c>
      <c r="D182" s="21">
        <f>+'Summary Medians'!$L$73</f>
        <v>16232</v>
      </c>
      <c r="E182" s="21">
        <f>+'Summary Medians'!$L$74</f>
        <v>15338</v>
      </c>
      <c r="F182" s="21">
        <f>+'Summary Medians'!$L$75</f>
        <v>14288</v>
      </c>
      <c r="G182" s="21">
        <f>+'Summary Medians'!$L$76</f>
        <v>15496</v>
      </c>
      <c r="H182" s="109">
        <f>+'Summary Medians'!$L$77</f>
        <v>15496</v>
      </c>
    </row>
    <row r="183" spans="1:8">
      <c r="A183" s="2" t="s">
        <v>143</v>
      </c>
      <c r="B183" s="21">
        <f>+'Summary Medians'!$L$88</f>
        <v>17659</v>
      </c>
      <c r="C183" s="21">
        <f>+'Summary Medians'!$L$89</f>
        <v>0</v>
      </c>
      <c r="D183" s="21">
        <f>+'Summary Medians'!$L$90</f>
        <v>18186</v>
      </c>
      <c r="E183" s="21">
        <f>+'Summary Medians'!$L$91</f>
        <v>18324</v>
      </c>
      <c r="F183" s="21">
        <f>+'Summary Medians'!$L$92</f>
        <v>13680</v>
      </c>
      <c r="G183" s="21">
        <f>+'Summary Medians'!$L$93</f>
        <v>0</v>
      </c>
      <c r="H183" s="109">
        <f>+'Summary Medians'!$L$94</f>
        <v>17659</v>
      </c>
    </row>
    <row r="184" spans="1:8">
      <c r="A184" s="2" t="s">
        <v>144</v>
      </c>
      <c r="B184" s="21">
        <f>+'Summary Medians'!$L$105</f>
        <v>13727.8</v>
      </c>
      <c r="C184" s="21">
        <f>+'Summary Medians'!$L$106</f>
        <v>9800</v>
      </c>
      <c r="D184" s="21">
        <f>+'Summary Medians'!$L$107</f>
        <v>9360.6</v>
      </c>
      <c r="E184" s="21">
        <f>+'Summary Medians'!$L$108</f>
        <v>9524.0499999999993</v>
      </c>
      <c r="F184" s="21">
        <f>+'Summary Medians'!$L$109</f>
        <v>0</v>
      </c>
      <c r="G184" s="21">
        <f>+'Summary Medians'!$L$110</f>
        <v>0</v>
      </c>
      <c r="H184" s="109">
        <f>+'Summary Medians'!$L$111</f>
        <v>9659.6</v>
      </c>
    </row>
    <row r="185" spans="1:8">
      <c r="A185" s="6" t="s">
        <v>145</v>
      </c>
      <c r="B185" s="21">
        <f>+'Summary Medians'!$L$122</f>
        <v>28026</v>
      </c>
      <c r="C185" s="21">
        <f>+'Summary Medians'!$L$123</f>
        <v>19608</v>
      </c>
      <c r="D185" s="21">
        <f>+'Summary Medians'!$L$124</f>
        <v>15732</v>
      </c>
      <c r="E185" s="21">
        <f>+'Summary Medians'!$L$125</f>
        <v>13958</v>
      </c>
      <c r="F185" s="21">
        <f>+'Summary Medians'!$L$126</f>
        <v>0</v>
      </c>
      <c r="G185" s="21">
        <f>+'Summary Medians'!$L$127</f>
        <v>23454</v>
      </c>
      <c r="H185" s="109">
        <f>+'Summary Medians'!$L$128</f>
        <v>16612</v>
      </c>
    </row>
    <row r="186" spans="1:8">
      <c r="A186" s="6"/>
      <c r="B186" s="21"/>
      <c r="C186" s="21"/>
      <c r="D186" s="21"/>
      <c r="E186" s="21"/>
      <c r="F186" s="21"/>
      <c r="G186" s="21"/>
      <c r="H186" s="109"/>
    </row>
    <row r="187" spans="1:8">
      <c r="A187" s="2" t="s">
        <v>146</v>
      </c>
      <c r="B187" s="21">
        <f>+'Summary Medians'!$L$139</f>
        <v>12623</v>
      </c>
      <c r="C187" s="21">
        <f>+'Summary Medians'!$L$140</f>
        <v>11722.5</v>
      </c>
      <c r="D187" s="21">
        <f>+'Summary Medians'!$L$141</f>
        <v>0</v>
      </c>
      <c r="E187" s="21">
        <f>+'Summary Medians'!$L$142</f>
        <v>11116</v>
      </c>
      <c r="F187" s="21">
        <f>+'Summary Medians'!$L$143</f>
        <v>11688</v>
      </c>
      <c r="G187" s="21">
        <f>+'Summary Medians'!$L$144</f>
        <v>0</v>
      </c>
      <c r="H187" s="109">
        <f>+'Summary Medians'!$L$145</f>
        <v>11435</v>
      </c>
    </row>
    <row r="188" spans="1:8">
      <c r="A188" s="2" t="s">
        <v>147</v>
      </c>
      <c r="B188" s="21">
        <f>+'Summary Medians'!$L$156</f>
        <v>19416</v>
      </c>
      <c r="C188" s="21">
        <f>+'Summary Medians'!$L$157</f>
        <v>15351.5</v>
      </c>
      <c r="D188" s="21">
        <f>+'Summary Medians'!$L$158</f>
        <v>14358</v>
      </c>
      <c r="E188" s="21">
        <f>+'Summary Medians'!$L$159</f>
        <v>12926</v>
      </c>
      <c r="F188" s="21">
        <f>+'Summary Medians'!$L$160</f>
        <v>12675</v>
      </c>
      <c r="G188" s="21">
        <f>+'Summary Medians'!$L$161</f>
        <v>13975</v>
      </c>
      <c r="H188" s="109">
        <f>+'Summary Medians'!$L$162</f>
        <v>14641</v>
      </c>
    </row>
    <row r="189" spans="1:8">
      <c r="A189" s="2" t="s">
        <v>148</v>
      </c>
      <c r="B189" s="21">
        <f>+'Summary Medians'!$L$173</f>
        <v>16106.28</v>
      </c>
      <c r="C189" s="21">
        <f>+'Summary Medians'!$L$174</f>
        <v>0</v>
      </c>
      <c r="D189" s="21">
        <f>+'Summary Medians'!$L$175</f>
        <v>9917.4</v>
      </c>
      <c r="E189" s="21">
        <f>+'Summary Medians'!$L$176</f>
        <v>0</v>
      </c>
      <c r="F189" s="21">
        <f>+'Summary Medians'!$L$177</f>
        <v>9654</v>
      </c>
      <c r="G189" s="21">
        <f>+'Summary Medians'!$L$178</f>
        <v>0</v>
      </c>
      <c r="H189" s="109">
        <f>+'Summary Medians'!$L$179</f>
        <v>9794.16</v>
      </c>
    </row>
    <row r="190" spans="1:8">
      <c r="A190" s="2" t="s">
        <v>149</v>
      </c>
      <c r="B190" s="21">
        <f>+'Summary Medians'!$L$190</f>
        <v>17710</v>
      </c>
      <c r="C190" s="21">
        <f>+'Summary Medians'!$L$191</f>
        <v>0</v>
      </c>
      <c r="D190" s="21">
        <f>+'Summary Medians'!$L$192</f>
        <v>20668</v>
      </c>
      <c r="E190" s="21">
        <f>+'Summary Medians'!$L$193</f>
        <v>12831</v>
      </c>
      <c r="F190" s="21">
        <f>+'Summary Medians'!$L$194</f>
        <v>15298</v>
      </c>
      <c r="G190" s="21">
        <f>+'Summary Medians'!$L$195</f>
        <v>20736</v>
      </c>
      <c r="H190" s="109">
        <f>+'Summary Medians'!$L$196</f>
        <v>17496</v>
      </c>
    </row>
    <row r="191" spans="1:8" ht="15.75">
      <c r="A191" s="2"/>
      <c r="B191" s="475"/>
      <c r="C191" s="475"/>
      <c r="D191" s="475"/>
      <c r="E191" s="475"/>
      <c r="F191" s="475"/>
      <c r="G191" s="475"/>
      <c r="H191" s="477"/>
    </row>
    <row r="192" spans="1:8">
      <c r="A192" s="2" t="s">
        <v>150</v>
      </c>
      <c r="B192" s="21">
        <f>+'Summary Medians'!$L$207</f>
        <v>19508</v>
      </c>
      <c r="C192" s="21">
        <f>+'Summary Medians'!$L$208</f>
        <v>0</v>
      </c>
      <c r="D192" s="21">
        <f>+'Summary Medians'!$L$209</f>
        <v>17563</v>
      </c>
      <c r="E192" s="21">
        <f>+'Summary Medians'!$L$210</f>
        <v>17888</v>
      </c>
      <c r="F192" s="21">
        <f>+'Summary Medians'!$L$211</f>
        <v>16726</v>
      </c>
      <c r="G192" s="21">
        <f>+'Summary Medians'!$L$212</f>
        <v>0</v>
      </c>
      <c r="H192" s="109">
        <f>+'Summary Medians'!$L$213</f>
        <v>17606</v>
      </c>
    </row>
    <row r="193" spans="1:8">
      <c r="A193" s="6" t="s">
        <v>151</v>
      </c>
      <c r="B193" s="21">
        <f>+'Summary Medians'!$L$224</f>
        <v>16132.8</v>
      </c>
      <c r="C193" s="21">
        <f>+'Summary Medians'!$L$225</f>
        <v>14702.4</v>
      </c>
      <c r="D193" s="21">
        <f>+'Summary Medians'!$L$226</f>
        <v>12050.4</v>
      </c>
      <c r="E193" s="21">
        <f>+'Summary Medians'!$L$227</f>
        <v>11093.4</v>
      </c>
      <c r="F193" s="21">
        <f>+'Summary Medians'!$L$228</f>
        <v>10917.599999999999</v>
      </c>
      <c r="G193" s="21">
        <f>+'Summary Medians'!$L$229</f>
        <v>14907.599999999999</v>
      </c>
      <c r="H193" s="109">
        <f>+'Summary Medians'!$L$230</f>
        <v>12446.4</v>
      </c>
    </row>
    <row r="194" spans="1:8">
      <c r="A194" s="2" t="s">
        <v>152</v>
      </c>
      <c r="B194" s="21">
        <f>+'Summary Medians'!$L$241</f>
        <v>22140</v>
      </c>
      <c r="C194" s="21">
        <f>+'Summary Medians'!$L$242</f>
        <v>19318</v>
      </c>
      <c r="D194" s="21">
        <f>+'Summary Medians'!$L$243</f>
        <v>17092</v>
      </c>
      <c r="E194" s="21">
        <f>+'Summary Medians'!$L$244</f>
        <v>18749.5</v>
      </c>
      <c r="F194" s="21">
        <f>+'Summary Medians'!$L$245</f>
        <v>14322</v>
      </c>
      <c r="G194" s="21">
        <f>+'Summary Medians'!$L$246</f>
        <v>0</v>
      </c>
      <c r="H194" s="109">
        <f>+'Summary Medians'!$L$247</f>
        <v>18764.5</v>
      </c>
    </row>
    <row r="195" spans="1:8">
      <c r="A195" s="8" t="s">
        <v>153</v>
      </c>
      <c r="B195" s="26">
        <f>+'Summary Medians'!$M$258</f>
        <v>16920</v>
      </c>
      <c r="C195" s="26">
        <f>+'Summary Medians'!$M$259</f>
        <v>0</v>
      </c>
      <c r="D195" s="26">
        <f>+'Summary Medians'!$M$260</f>
        <v>13836</v>
      </c>
      <c r="E195" s="26">
        <f>+'Summary Medians'!$M$261</f>
        <v>0</v>
      </c>
      <c r="F195" s="26">
        <f>+'Summary Medians'!$M$262</f>
        <v>11776</v>
      </c>
      <c r="G195" s="26">
        <f>+'Summary Medians'!$M$263</f>
        <v>7920</v>
      </c>
      <c r="H195" s="111">
        <f>+'Summary Medians'!$M$264</f>
        <v>10585</v>
      </c>
    </row>
    <row r="196" spans="1:8" ht="15.75">
      <c r="A196" s="475"/>
      <c r="B196" s="475"/>
      <c r="C196" s="475"/>
      <c r="D196" s="475"/>
      <c r="E196" s="475"/>
      <c r="F196" s="475"/>
      <c r="G196" s="475"/>
      <c r="H196" s="272"/>
    </row>
    <row r="197" spans="1:8" ht="39.75" customHeight="1">
      <c r="A197" s="563" t="s">
        <v>436</v>
      </c>
      <c r="B197" s="563"/>
      <c r="C197" s="563"/>
      <c r="D197" s="563"/>
      <c r="E197" s="563"/>
      <c r="F197" s="563"/>
      <c r="G197" s="563"/>
      <c r="H197" s="563"/>
    </row>
    <row r="198" spans="1:8" ht="15.75">
      <c r="A198" s="475"/>
      <c r="B198" s="475"/>
      <c r="C198" s="475"/>
      <c r="D198" s="475"/>
      <c r="E198" s="475"/>
      <c r="F198" s="475"/>
      <c r="G198" s="475"/>
      <c r="H198" s="129" t="s">
        <v>1116</v>
      </c>
    </row>
    <row r="199" spans="1:8" ht="18">
      <c r="A199" s="564" t="s">
        <v>200</v>
      </c>
      <c r="B199" s="564"/>
      <c r="C199" s="564"/>
      <c r="D199" s="564"/>
      <c r="E199" s="564"/>
      <c r="F199" s="564"/>
      <c r="G199" s="564"/>
      <c r="H199" s="564"/>
    </row>
    <row r="200" spans="1:8">
      <c r="A200" s="72"/>
      <c r="B200" s="72"/>
      <c r="C200" s="72"/>
      <c r="D200" s="72"/>
      <c r="E200" s="72"/>
      <c r="F200" s="72"/>
      <c r="G200" s="72"/>
      <c r="H200" s="116"/>
    </row>
    <row r="201" spans="1:8" ht="15.75">
      <c r="A201" s="565" t="s">
        <v>136</v>
      </c>
      <c r="B201" s="565"/>
      <c r="C201" s="565"/>
      <c r="D201" s="565"/>
      <c r="E201" s="565"/>
      <c r="F201" s="565"/>
      <c r="G201" s="565"/>
      <c r="H201" s="565"/>
    </row>
    <row r="202" spans="1:8" ht="15.75">
      <c r="A202" s="565" t="s">
        <v>459</v>
      </c>
      <c r="B202" s="565"/>
      <c r="C202" s="565"/>
      <c r="D202" s="565"/>
      <c r="E202" s="565"/>
      <c r="F202" s="565"/>
      <c r="G202" s="565"/>
      <c r="H202" s="565"/>
    </row>
    <row r="203" spans="1:8" ht="15.75">
      <c r="A203" s="565" t="s">
        <v>1129</v>
      </c>
      <c r="B203" s="565"/>
      <c r="C203" s="565"/>
      <c r="D203" s="565"/>
      <c r="E203" s="565"/>
      <c r="F203" s="565"/>
      <c r="G203" s="565"/>
      <c r="H203" s="565"/>
    </row>
    <row r="204" spans="1:8">
      <c r="A204" s="2"/>
      <c r="B204" s="2"/>
      <c r="C204" s="2"/>
      <c r="D204" s="2"/>
      <c r="E204" s="71"/>
      <c r="F204" s="71"/>
      <c r="G204" s="71"/>
      <c r="H204" s="117"/>
    </row>
    <row r="205" spans="1:8">
      <c r="A205" s="11"/>
      <c r="B205" s="11"/>
      <c r="C205" s="11"/>
      <c r="D205" s="11"/>
      <c r="E205" s="11"/>
      <c r="F205" s="11"/>
      <c r="G205" s="11" t="s">
        <v>202</v>
      </c>
      <c r="H205" s="11" t="s">
        <v>203</v>
      </c>
    </row>
    <row r="206" spans="1:8">
      <c r="A206" s="78"/>
      <c r="B206" s="304" t="s">
        <v>204</v>
      </c>
      <c r="C206" s="304" t="s">
        <v>205</v>
      </c>
      <c r="D206" s="304" t="s">
        <v>206</v>
      </c>
      <c r="E206" s="304" t="s">
        <v>207</v>
      </c>
      <c r="F206" s="304" t="s">
        <v>208</v>
      </c>
      <c r="G206" s="304" t="s">
        <v>205</v>
      </c>
      <c r="H206" s="304" t="s">
        <v>205</v>
      </c>
    </row>
    <row r="207" spans="1:8" ht="15.75">
      <c r="A207" s="475"/>
      <c r="B207" s="475"/>
      <c r="C207" s="475"/>
      <c r="D207" s="475"/>
      <c r="E207" s="475"/>
      <c r="F207" s="475"/>
      <c r="G207" s="480"/>
      <c r="H207" s="481"/>
    </row>
    <row r="208" spans="1:8">
      <c r="A208" s="6" t="s">
        <v>316</v>
      </c>
      <c r="B208" s="66">
        <f>+'Summary Medians'!$O$291</f>
        <v>12564</v>
      </c>
      <c r="C208" s="66">
        <f>+'Summary Medians'!$U$291</f>
        <v>17173.5</v>
      </c>
      <c r="D208" s="66">
        <f>+'Summary Medians'!$AA$291</f>
        <v>16575</v>
      </c>
      <c r="E208" s="66">
        <f>+'Summary Medians'!$AG$291</f>
        <v>13462</v>
      </c>
      <c r="F208" s="66">
        <f>+'Summary Medians'!$AM$291</f>
        <v>16629</v>
      </c>
      <c r="G208" s="66">
        <f>+'Summary Medians'!$AS$291</f>
        <v>19290.650000000001</v>
      </c>
      <c r="H208" s="41">
        <f>+'Summary Medians'!$AY$291</f>
        <v>14468.130000000001</v>
      </c>
    </row>
    <row r="209" spans="1:8">
      <c r="A209" s="6"/>
      <c r="B209" s="25"/>
      <c r="C209" s="25"/>
      <c r="D209" s="25"/>
      <c r="E209" s="25"/>
      <c r="F209" s="25"/>
      <c r="G209" s="25"/>
      <c r="H209" s="42"/>
    </row>
    <row r="210" spans="1:8">
      <c r="A210" s="2" t="s">
        <v>139</v>
      </c>
      <c r="B210" s="21">
        <f>+'Summary Medians'!$O$19</f>
        <v>12564</v>
      </c>
      <c r="C210" s="21">
        <f>+'Summary Medians'!$U$19</f>
        <v>17103</v>
      </c>
      <c r="D210" s="21">
        <f>+'Summary Medians'!$AA$19</f>
        <v>15388</v>
      </c>
      <c r="E210" s="21">
        <f>+'Summary Medians'!$AG$19</f>
        <v>14826</v>
      </c>
      <c r="F210" s="21">
        <f>+'Summary Medians'!$AM$19</f>
        <v>16629</v>
      </c>
      <c r="G210" s="21">
        <f>+'Summary Medians'!$AS$19</f>
        <v>0</v>
      </c>
      <c r="H210" s="42">
        <f>+'Summary Medians'!$AY$19</f>
        <v>11620</v>
      </c>
    </row>
    <row r="211" spans="1:8">
      <c r="A211" s="2" t="s">
        <v>140</v>
      </c>
      <c r="B211" s="21">
        <f>+'Summary Medians'!$O$36</f>
        <v>8702</v>
      </c>
      <c r="C211" s="21">
        <f>+'Summary Medians'!$U$36</f>
        <v>17244</v>
      </c>
      <c r="D211" s="21">
        <f>+'Summary Medians'!$AA$36</f>
        <v>0</v>
      </c>
      <c r="E211" s="21">
        <f>+'Summary Medians'!$AG$36</f>
        <v>9869</v>
      </c>
      <c r="F211" s="21">
        <f>+'Summary Medians'!$AM$36</f>
        <v>0</v>
      </c>
      <c r="G211" s="21">
        <f>+'Summary Medians'!$AS$36</f>
        <v>0</v>
      </c>
      <c r="H211" s="42">
        <f>+'Summary Medians'!$AY$36</f>
        <v>0</v>
      </c>
    </row>
    <row r="212" spans="1:8">
      <c r="A212" s="2" t="s">
        <v>211</v>
      </c>
      <c r="B212" s="21">
        <f>+'Summary Medians'!$O$53</f>
        <v>0</v>
      </c>
      <c r="C212" s="21">
        <f>+'Summary Medians'!$U$53</f>
        <v>0</v>
      </c>
      <c r="D212" s="21">
        <f>+'Summary Medians'!$AA$53</f>
        <v>0</v>
      </c>
      <c r="E212" s="21">
        <f>+'Summary Medians'!$AG$53</f>
        <v>0</v>
      </c>
      <c r="F212" s="21">
        <f>+'Summary Medians'!$AM$53</f>
        <v>0</v>
      </c>
      <c r="G212" s="21">
        <f>+'Summary Medians'!$AS$53</f>
        <v>0</v>
      </c>
      <c r="H212" s="42">
        <f>+'Summary Medians'!$AY$53</f>
        <v>0</v>
      </c>
    </row>
    <row r="213" spans="1:8">
      <c r="A213" s="6" t="s">
        <v>141</v>
      </c>
      <c r="B213" s="21">
        <f>+'Summary Medians'!$O$70</f>
        <v>9280.5</v>
      </c>
      <c r="C213" s="21">
        <f>+'Summary Medians'!$U$70</f>
        <v>22422</v>
      </c>
      <c r="D213" s="21">
        <f>+'Summary Medians'!$AA$70</f>
        <v>24202</v>
      </c>
      <c r="E213" s="21">
        <f>+'Summary Medians'!$AG$70</f>
        <v>13095</v>
      </c>
      <c r="F213" s="21">
        <f>+'Summary Medians'!$AM$70</f>
        <v>0</v>
      </c>
      <c r="G213" s="21">
        <f>+'Summary Medians'!$AS$70</f>
        <v>0</v>
      </c>
      <c r="H213" s="42">
        <f>+'Summary Medians'!$AY$70</f>
        <v>21041</v>
      </c>
    </row>
    <row r="214" spans="1:8">
      <c r="A214" s="6"/>
      <c r="B214" s="21"/>
      <c r="C214" s="21"/>
      <c r="D214" s="21"/>
      <c r="E214" s="21"/>
      <c r="F214" s="21"/>
      <c r="G214" s="21"/>
      <c r="H214" s="42"/>
    </row>
    <row r="215" spans="1:8">
      <c r="A215" s="6" t="s">
        <v>142</v>
      </c>
      <c r="B215" s="21">
        <f>+'Summary Medians'!$O$87</f>
        <v>11825</v>
      </c>
      <c r="C215" s="21">
        <f>+'Summary Medians'!$U$87</f>
        <v>15604</v>
      </c>
      <c r="D215" s="21">
        <f>+'Summary Medians'!$AA$87</f>
        <v>11646</v>
      </c>
      <c r="E215" s="21">
        <f>+'Summary Medians'!$AG$87</f>
        <v>11206</v>
      </c>
      <c r="F215" s="21">
        <f>+'Summary Medians'!$AM$87</f>
        <v>0</v>
      </c>
      <c r="G215" s="21">
        <f>+'Summary Medians'!$AS$87</f>
        <v>0</v>
      </c>
      <c r="H215" s="42">
        <f>+'Summary Medians'!$AY$87</f>
        <v>13222</v>
      </c>
    </row>
    <row r="216" spans="1:8">
      <c r="A216" s="2" t="s">
        <v>143</v>
      </c>
      <c r="B216" s="21">
        <f>+'Summary Medians'!$O$104</f>
        <v>13744</v>
      </c>
      <c r="C216" s="21">
        <f>+'Summary Medians'!$U$104</f>
        <v>25421</v>
      </c>
      <c r="D216" s="21">
        <f>+'Summary Medians'!$AA$104</f>
        <v>21664</v>
      </c>
      <c r="E216" s="21">
        <f>+'Summary Medians'!$AG$104</f>
        <v>19376</v>
      </c>
      <c r="F216" s="21">
        <f>+'Summary Medians'!$AM$104</f>
        <v>0</v>
      </c>
      <c r="G216" s="21">
        <f>+'Summary Medians'!$AS$104</f>
        <v>0</v>
      </c>
      <c r="H216" s="42">
        <f>+'Summary Medians'!$AY$104</f>
        <v>0</v>
      </c>
    </row>
    <row r="217" spans="1:8">
      <c r="A217" s="2" t="s">
        <v>144</v>
      </c>
      <c r="B217" s="21">
        <f>+'Summary Medians'!$O$121</f>
        <v>10282.075000000001</v>
      </c>
      <c r="C217" s="21">
        <f>+'Summary Medians'!$U$121</f>
        <v>12172</v>
      </c>
      <c r="D217" s="21">
        <f>+'Summary Medians'!$AA$121</f>
        <v>10866</v>
      </c>
      <c r="E217" s="21">
        <f>+'Summary Medians'!$AG$121</f>
        <v>12829.9</v>
      </c>
      <c r="F217" s="21">
        <f>+'Summary Medians'!$AM$121</f>
        <v>0</v>
      </c>
      <c r="G217" s="21">
        <f>+'Summary Medians'!$AS$121</f>
        <v>0</v>
      </c>
      <c r="H217" s="42">
        <f>+'Summary Medians'!$AY$121</f>
        <v>14641.4</v>
      </c>
    </row>
    <row r="218" spans="1:8">
      <c r="A218" s="6" t="s">
        <v>145</v>
      </c>
      <c r="B218" s="21">
        <f>+'Summary Medians'!$O$138</f>
        <v>22185.5</v>
      </c>
      <c r="C218" s="21">
        <f>+'Summary Medians'!$U$138</f>
        <v>23509</v>
      </c>
      <c r="D218" s="21">
        <f>+'Summary Medians'!$AA$138</f>
        <v>20936</v>
      </c>
      <c r="E218" s="21">
        <f>+'Summary Medians'!$AG$138</f>
        <v>15376</v>
      </c>
      <c r="F218" s="21">
        <f>+'Summary Medians'!$AM$138</f>
        <v>0</v>
      </c>
      <c r="G218" s="21">
        <f>+'Summary Medians'!$AS$138</f>
        <v>0</v>
      </c>
      <c r="H218" s="42">
        <f>+'Summary Medians'!$AY$138</f>
        <v>0</v>
      </c>
    </row>
    <row r="219" spans="1:8">
      <c r="A219" s="6"/>
      <c r="B219" s="21"/>
      <c r="C219" s="21"/>
      <c r="D219" s="21"/>
      <c r="E219" s="21"/>
      <c r="F219" s="21"/>
      <c r="G219" s="21"/>
      <c r="H219" s="42"/>
    </row>
    <row r="220" spans="1:8">
      <c r="A220" s="2" t="s">
        <v>146</v>
      </c>
      <c r="B220" s="21">
        <f>+'Summary Medians'!$O$155</f>
        <v>9350</v>
      </c>
      <c r="C220" s="21">
        <f>+'Summary Medians'!$U$155</f>
        <v>11649</v>
      </c>
      <c r="D220" s="21">
        <f>+'Summary Medians'!$AA$155</f>
        <v>11530</v>
      </c>
      <c r="E220" s="21">
        <f>+'Summary Medians'!$AG$155</f>
        <v>11298</v>
      </c>
      <c r="F220" s="21">
        <f>+'Summary Medians'!$AM$155</f>
        <v>0</v>
      </c>
      <c r="G220" s="21">
        <f>+'Summary Medians'!$AS$155</f>
        <v>0</v>
      </c>
      <c r="H220" s="42">
        <f>+'Summary Medians'!$AY$155</f>
        <v>15759</v>
      </c>
    </row>
    <row r="221" spans="1:8">
      <c r="A221" s="2" t="s">
        <v>147</v>
      </c>
      <c r="B221" s="21">
        <f>+'Summary Medians'!$O$172</f>
        <v>10663</v>
      </c>
      <c r="C221" s="21">
        <f>+'Summary Medians'!$U$172</f>
        <v>10965.5</v>
      </c>
      <c r="D221" s="21">
        <f>+'Summary Medians'!$AA$172</f>
        <v>16474</v>
      </c>
      <c r="E221" s="21">
        <f>+'Summary Medians'!$AG$172</f>
        <v>13462</v>
      </c>
      <c r="F221" s="21">
        <f>+'Summary Medians'!$AM$172</f>
        <v>0</v>
      </c>
      <c r="G221" s="21">
        <f>+'Summary Medians'!$AS$172</f>
        <v>0</v>
      </c>
      <c r="H221" s="42">
        <f>+'Summary Medians'!$AY$172</f>
        <v>10637</v>
      </c>
    </row>
    <row r="222" spans="1:8">
      <c r="A222" s="2" t="s">
        <v>148</v>
      </c>
      <c r="B222" s="21">
        <f>+'Summary Medians'!$O$189</f>
        <v>15836</v>
      </c>
      <c r="C222" s="21">
        <f>+'Summary Medians'!$U$189</f>
        <v>20647.5</v>
      </c>
      <c r="D222" s="21">
        <f>+'Summary Medians'!$AA$189</f>
        <v>18830.5</v>
      </c>
      <c r="E222" s="21">
        <f>+'Summary Medians'!$AG$189</f>
        <v>12246.35</v>
      </c>
      <c r="F222" s="21">
        <f>+'Summary Medians'!$AM$189</f>
        <v>12882</v>
      </c>
      <c r="G222" s="21">
        <f>+'Summary Medians'!$AS$189</f>
        <v>19290.650000000001</v>
      </c>
      <c r="H222" s="42">
        <f>+'Summary Medians'!$AY$189</f>
        <v>14294.86</v>
      </c>
    </row>
    <row r="223" spans="1:8">
      <c r="A223" s="2" t="s">
        <v>149</v>
      </c>
      <c r="B223" s="21">
        <f>+'Summary Medians'!$O$206</f>
        <v>17848</v>
      </c>
      <c r="C223" s="21">
        <f>+'Summary Medians'!$U$206</f>
        <v>25187</v>
      </c>
      <c r="D223" s="21">
        <f>+'Summary Medians'!$AA$206</f>
        <v>22468</v>
      </c>
      <c r="E223" s="21">
        <f>+'Summary Medians'!$AG$206</f>
        <v>17647</v>
      </c>
      <c r="F223" s="21">
        <f>+'Summary Medians'!$AM$206</f>
        <v>0</v>
      </c>
      <c r="G223" s="21">
        <f>+'Summary Medians'!$AS$206</f>
        <v>0</v>
      </c>
      <c r="H223" s="42">
        <f>+'Summary Medians'!$AY$206</f>
        <v>0</v>
      </c>
    </row>
    <row r="224" spans="1:8" ht="15.75">
      <c r="A224" s="2"/>
      <c r="B224" s="475"/>
      <c r="C224" s="475"/>
      <c r="D224" s="475"/>
      <c r="E224" s="475"/>
      <c r="F224" s="475"/>
      <c r="G224" s="475"/>
      <c r="H224" s="481"/>
    </row>
    <row r="225" spans="1:8">
      <c r="A225" s="2" t="s">
        <v>150</v>
      </c>
      <c r="B225" s="21">
        <f>+'Summary Medians'!$O$223</f>
        <v>12194</v>
      </c>
      <c r="C225" s="21">
        <f>+'Summary Medians'!$U$223</f>
        <v>20711.5</v>
      </c>
      <c r="D225" s="21">
        <f>+'Summary Medians'!$AA$223</f>
        <v>18978</v>
      </c>
      <c r="E225" s="21">
        <f>+'Summary Medians'!$AG$223</f>
        <v>19246.5</v>
      </c>
      <c r="F225" s="21">
        <f>+'Summary Medians'!$AM$223</f>
        <v>0</v>
      </c>
      <c r="G225" s="21">
        <f>+'Summary Medians'!$AS$223</f>
        <v>0</v>
      </c>
      <c r="H225" s="42">
        <f>+'Summary Medians'!$AY$223</f>
        <v>15348</v>
      </c>
    </row>
    <row r="226" spans="1:8">
      <c r="A226" s="6" t="s">
        <v>151</v>
      </c>
      <c r="B226" s="21">
        <f>+'Summary Medians'!$O$240</f>
        <v>12567</v>
      </c>
      <c r="C226" s="21">
        <f>+'Summary Medians'!$U$240</f>
        <v>13353</v>
      </c>
      <c r="D226" s="21">
        <f>+'Summary Medians'!$AA$240</f>
        <v>13110</v>
      </c>
      <c r="E226" s="21">
        <f>+'Summary Medians'!$AG$240</f>
        <v>9900.0999999999985</v>
      </c>
      <c r="F226" s="21">
        <f>+'Summary Medians'!$AM$240</f>
        <v>18680</v>
      </c>
      <c r="G226" s="21">
        <f>+'Summary Medians'!$AS$240</f>
        <v>14877</v>
      </c>
      <c r="H226" s="42">
        <f>+'Summary Medians'!$AY$240</f>
        <v>14026</v>
      </c>
    </row>
    <row r="227" spans="1:8">
      <c r="A227" s="2" t="s">
        <v>152</v>
      </c>
      <c r="B227" s="21">
        <f>+'Summary Medians'!$O$257</f>
        <v>20146</v>
      </c>
      <c r="C227" s="21">
        <f>+'Summary Medians'!$U$257</f>
        <v>30185</v>
      </c>
      <c r="D227" s="21">
        <f>+'Summary Medians'!$AA$257</f>
        <v>26028</v>
      </c>
      <c r="E227" s="21">
        <f>+'Summary Medians'!$AG$257</f>
        <v>20805</v>
      </c>
      <c r="F227" s="21">
        <f>+'Summary Medians'!$AM$257</f>
        <v>0</v>
      </c>
      <c r="G227" s="21">
        <f>+'Summary Medians'!$AS$257</f>
        <v>0</v>
      </c>
      <c r="H227" s="42">
        <f>+'Summary Medians'!$AY$257</f>
        <v>17336</v>
      </c>
    </row>
    <row r="228" spans="1:8">
      <c r="A228" s="8" t="s">
        <v>153</v>
      </c>
      <c r="B228" s="26">
        <f>+'Summary Medians'!$O$274</f>
        <v>10644</v>
      </c>
      <c r="C228" s="26">
        <f>+'Summary Medians'!$U$274</f>
        <v>18376</v>
      </c>
      <c r="D228" s="26">
        <f>+'Summary Medians'!$AA$274</f>
        <v>12754</v>
      </c>
      <c r="E228" s="26">
        <f>+'Summary Medians'!$AG$274</f>
        <v>10288</v>
      </c>
      <c r="F228" s="26">
        <f>+'Summary Medians'!$AM$274</f>
        <v>0</v>
      </c>
      <c r="G228" s="26">
        <f>+'Summary Medians'!$AS$274</f>
        <v>20426</v>
      </c>
      <c r="H228" s="23">
        <f>+'Summary Medians'!$AY$274</f>
        <v>0</v>
      </c>
    </row>
    <row r="229" spans="1:8" ht="15.75">
      <c r="A229" s="475"/>
      <c r="B229" s="475"/>
      <c r="C229" s="475"/>
      <c r="D229" s="475"/>
      <c r="E229" s="475"/>
      <c r="F229" s="475"/>
      <c r="G229" s="475"/>
      <c r="H229" s="272"/>
    </row>
    <row r="230" spans="1:8" ht="29.25" customHeight="1">
      <c r="A230" s="563" t="s">
        <v>289</v>
      </c>
      <c r="B230" s="563"/>
      <c r="C230" s="563"/>
      <c r="D230" s="563"/>
      <c r="E230" s="563"/>
      <c r="F230" s="563"/>
      <c r="G230" s="563"/>
      <c r="H230" s="563"/>
    </row>
    <row r="231" spans="1:8" ht="15.75">
      <c r="A231" s="475"/>
      <c r="B231" s="475"/>
      <c r="C231" s="475"/>
      <c r="D231" s="475"/>
      <c r="E231" s="475"/>
      <c r="F231" s="475"/>
      <c r="G231" s="475"/>
      <c r="H231" s="129" t="s">
        <v>1116</v>
      </c>
    </row>
    <row r="232" spans="1:8" ht="18">
      <c r="A232" s="28" t="s">
        <v>201</v>
      </c>
      <c r="B232" s="28"/>
      <c r="C232" s="28"/>
      <c r="D232" s="28"/>
      <c r="E232" s="28"/>
      <c r="F232" s="28"/>
      <c r="G232" s="28"/>
      <c r="H232" s="96"/>
    </row>
    <row r="233" spans="1:8">
      <c r="A233" s="70"/>
      <c r="B233" s="70"/>
      <c r="C233" s="70"/>
      <c r="D233" s="70"/>
      <c r="E233" s="70"/>
      <c r="F233" s="70"/>
      <c r="G233" s="70"/>
      <c r="H233" s="97"/>
    </row>
    <row r="234" spans="1:8" ht="15.75">
      <c r="A234" s="29" t="s">
        <v>136</v>
      </c>
      <c r="B234" s="29"/>
      <c r="C234" s="29"/>
      <c r="D234" s="29"/>
      <c r="E234" s="29"/>
      <c r="F234" s="29"/>
      <c r="G234" s="29"/>
      <c r="H234" s="98"/>
    </row>
    <row r="235" spans="1:8" ht="15.75">
      <c r="A235" s="29" t="s">
        <v>210</v>
      </c>
      <c r="B235" s="29"/>
      <c r="C235" s="29"/>
      <c r="D235" s="29"/>
      <c r="E235" s="29"/>
      <c r="F235" s="29"/>
      <c r="G235" s="29"/>
      <c r="H235" s="98"/>
    </row>
    <row r="236" spans="1:8" ht="15.75">
      <c r="A236" s="29" t="s">
        <v>1129</v>
      </c>
      <c r="B236" s="29"/>
      <c r="C236" s="29"/>
      <c r="D236" s="29"/>
      <c r="E236" s="29"/>
      <c r="F236" s="29"/>
      <c r="G236" s="29"/>
      <c r="H236" s="98"/>
    </row>
    <row r="237" spans="1:8">
      <c r="A237" s="73"/>
      <c r="B237" s="73"/>
      <c r="C237" s="73"/>
      <c r="D237" s="73"/>
      <c r="E237" s="73"/>
      <c r="F237" s="73"/>
      <c r="G237" s="73"/>
      <c r="H237" s="121"/>
    </row>
    <row r="238" spans="1:8">
      <c r="A238" s="482"/>
      <c r="B238" s="51"/>
      <c r="C238" s="51"/>
      <c r="D238" s="51"/>
      <c r="E238" s="51"/>
      <c r="F238" s="51"/>
      <c r="G238" s="51" t="s">
        <v>202</v>
      </c>
      <c r="H238" s="119" t="s">
        <v>203</v>
      </c>
    </row>
    <row r="239" spans="1:8">
      <c r="A239" s="483"/>
      <c r="B239" s="27" t="s">
        <v>204</v>
      </c>
      <c r="C239" s="27" t="s">
        <v>205</v>
      </c>
      <c r="D239" s="27" t="s">
        <v>206</v>
      </c>
      <c r="E239" s="27" t="s">
        <v>207</v>
      </c>
      <c r="F239" s="27" t="s">
        <v>208</v>
      </c>
      <c r="G239" s="27" t="s">
        <v>205</v>
      </c>
      <c r="H239" s="120" t="s">
        <v>205</v>
      </c>
    </row>
    <row r="240" spans="1:8" ht="15.75">
      <c r="A240" s="63"/>
      <c r="B240" s="484"/>
      <c r="C240" s="484"/>
      <c r="D240" s="484"/>
      <c r="E240" s="484"/>
      <c r="F240" s="484"/>
      <c r="G240" s="484"/>
      <c r="H240" s="485"/>
    </row>
    <row r="241" spans="1:8">
      <c r="A241" s="6" t="s">
        <v>316</v>
      </c>
      <c r="B241" s="66">
        <f>+'Summary Medians'!$R$291</f>
        <v>25931</v>
      </c>
      <c r="C241" s="66">
        <f>+'Summary Medians'!$X$291</f>
        <v>39692.5</v>
      </c>
      <c r="D241" s="66">
        <f>+'Summary Medians'!$AD$291</f>
        <v>41272.5</v>
      </c>
      <c r="E241" s="66">
        <f>+'Summary Medians'!$AJ$291</f>
        <v>27074</v>
      </c>
      <c r="F241" s="66">
        <f>+'Summary Medians'!$AP$291</f>
        <v>29920</v>
      </c>
      <c r="G241" s="66">
        <f>+'Summary Medians'!$AV$291</f>
        <v>37212.5</v>
      </c>
      <c r="H241" s="17">
        <f>+'Summary Medians'!$BB$291</f>
        <v>36581</v>
      </c>
    </row>
    <row r="242" spans="1:8">
      <c r="A242" s="13"/>
      <c r="B242" s="25"/>
      <c r="C242" s="25"/>
      <c r="D242" s="25"/>
      <c r="E242" s="25"/>
      <c r="F242" s="25"/>
      <c r="G242" s="25"/>
      <c r="H242" s="42"/>
    </row>
    <row r="243" spans="1:8">
      <c r="A243" s="2" t="s">
        <v>139</v>
      </c>
      <c r="B243" s="21">
        <f>+'Summary Medians'!$R$19</f>
        <v>24158</v>
      </c>
      <c r="C243" s="21">
        <f>+'Summary Medians'!$X$19</f>
        <v>47239</v>
      </c>
      <c r="D243" s="21">
        <f>+'Summary Medians'!$AD$19</f>
        <v>41940</v>
      </c>
      <c r="E243" s="21">
        <f>+'Summary Medians'!$AJ$19</f>
        <v>26586</v>
      </c>
      <c r="F243" s="21">
        <f>+'Summary Medians'!$AP$19</f>
        <v>43311</v>
      </c>
      <c r="G243" s="21">
        <f>+'Summary Medians'!$AV$19</f>
        <v>0</v>
      </c>
      <c r="H243" s="19">
        <f>+'Summary Medians'!$BB$19</f>
        <v>34100</v>
      </c>
    </row>
    <row r="244" spans="1:8">
      <c r="A244" s="2" t="s">
        <v>140</v>
      </c>
      <c r="B244" s="21">
        <f>+'Summary Medians'!$R$36</f>
        <v>17500</v>
      </c>
      <c r="C244" s="21">
        <f>+'Summary Medians'!$X$36</f>
        <v>33708</v>
      </c>
      <c r="D244" s="21"/>
      <c r="E244" s="21">
        <f>+'Summary Medians'!$AJ$36</f>
        <v>19509</v>
      </c>
      <c r="F244" s="21">
        <f>+'Summary Medians'!$AP$36</f>
        <v>0</v>
      </c>
      <c r="G244" s="21">
        <f>+'Summary Medians'!$AV$36</f>
        <v>0</v>
      </c>
      <c r="H244" s="19">
        <f>+'Summary Medians'!$BB$36</f>
        <v>0</v>
      </c>
    </row>
    <row r="245" spans="1:8">
      <c r="A245" s="2" t="s">
        <v>211</v>
      </c>
      <c r="B245" s="21">
        <f>+'Summary Medians'!$R$53</f>
        <v>0</v>
      </c>
      <c r="C245" s="21">
        <f>+'Summary Medians'!$X$53</f>
        <v>0</v>
      </c>
      <c r="D245" s="21"/>
      <c r="E245" s="21">
        <f>+'Summary Medians'!$AJ$53</f>
        <v>0</v>
      </c>
      <c r="F245" s="21">
        <f>+'Summary Medians'!$AP$53</f>
        <v>0</v>
      </c>
      <c r="G245" s="21">
        <f>+'Summary Medians'!$AV$53</f>
        <v>0</v>
      </c>
      <c r="H245" s="19">
        <f>+'Summary Medians'!$BB$53</f>
        <v>0</v>
      </c>
    </row>
    <row r="246" spans="1:8">
      <c r="A246" s="2" t="s">
        <v>141</v>
      </c>
      <c r="B246" s="21">
        <f>+'Summary Medians'!$R$70</f>
        <v>23449.5</v>
      </c>
      <c r="C246" s="21">
        <f>+'Summary Medians'!$X$70</f>
        <v>53099</v>
      </c>
      <c r="D246" s="21">
        <f>+'Summary Medians'!$AD$70</f>
        <v>50683</v>
      </c>
      <c r="E246" s="21">
        <f>+'Summary Medians'!$AJ$70</f>
        <v>36239</v>
      </c>
      <c r="F246" s="21">
        <f>+'Summary Medians'!$AP$70</f>
        <v>0</v>
      </c>
      <c r="G246" s="21">
        <f>+'Summary Medians'!$AV$70</f>
        <v>0</v>
      </c>
      <c r="H246" s="19">
        <f>+'Summary Medians'!$BB$70</f>
        <v>42016</v>
      </c>
    </row>
    <row r="247" spans="1:8">
      <c r="A247" s="2"/>
      <c r="B247" s="21"/>
      <c r="C247" s="21"/>
      <c r="D247" s="21"/>
      <c r="E247" s="21"/>
      <c r="F247" s="21"/>
      <c r="G247" s="21"/>
      <c r="H247" s="19"/>
    </row>
    <row r="248" spans="1:8">
      <c r="A248" s="2" t="s">
        <v>142</v>
      </c>
      <c r="B248" s="21">
        <f>+'Summary Medians'!$R$87</f>
        <v>30078</v>
      </c>
      <c r="C248" s="21">
        <f>+'Summary Medians'!$X$87</f>
        <v>15604</v>
      </c>
      <c r="D248" s="21">
        <f>+'Summary Medians'!$AD$87</f>
        <v>40436</v>
      </c>
      <c r="E248" s="21">
        <f>+'Summary Medians'!$AJ$87</f>
        <v>28970</v>
      </c>
      <c r="F248" s="21">
        <f>+'Summary Medians'!$AP$87</f>
        <v>0</v>
      </c>
      <c r="G248" s="21">
        <f>+'Summary Medians'!$AV$87</f>
        <v>0</v>
      </c>
      <c r="H248" s="19">
        <f>+'Summary Medians'!$BB$87</f>
        <v>34892</v>
      </c>
    </row>
    <row r="249" spans="1:8">
      <c r="A249" s="2" t="s">
        <v>143</v>
      </c>
      <c r="B249" s="21">
        <f>+'Summary Medians'!$R$104</f>
        <v>28292</v>
      </c>
      <c r="C249" s="21">
        <f>+'Summary Medians'!$X$104</f>
        <v>46020</v>
      </c>
      <c r="D249" s="21">
        <f>+'Summary Medians'!$AD$104</f>
        <v>47273</v>
      </c>
      <c r="E249" s="21">
        <f>+'Summary Medians'!$AJ$104</f>
        <v>35270</v>
      </c>
      <c r="F249" s="21">
        <f>+'Summary Medians'!$AP$104</f>
        <v>0</v>
      </c>
      <c r="G249" s="21">
        <f>+'Summary Medians'!$AV$104</f>
        <v>0</v>
      </c>
      <c r="H249" s="19">
        <f>+'Summary Medians'!$BB$104</f>
        <v>0</v>
      </c>
    </row>
    <row r="250" spans="1:8">
      <c r="A250" s="2" t="s">
        <v>144</v>
      </c>
      <c r="B250" s="21">
        <f>+'Summary Medians'!$R$121</f>
        <v>17630.075000000001</v>
      </c>
      <c r="C250" s="21">
        <f>+'Summary Medians'!$X$121</f>
        <v>26320</v>
      </c>
      <c r="D250" s="21">
        <f>+'Summary Medians'!$AD$121</f>
        <v>23260</v>
      </c>
      <c r="E250" s="21">
        <f>+'Summary Medians'!$AJ$121</f>
        <v>23030.7</v>
      </c>
      <c r="F250" s="21">
        <f>+'Summary Medians'!$AP$121</f>
        <v>0</v>
      </c>
      <c r="G250" s="21">
        <f>+'Summary Medians'!$AV$121</f>
        <v>0</v>
      </c>
      <c r="H250" s="19">
        <f>+'Summary Medians'!$BB$121</f>
        <v>38841.4</v>
      </c>
    </row>
    <row r="251" spans="1:8">
      <c r="A251" s="2" t="s">
        <v>145</v>
      </c>
      <c r="B251" s="21">
        <f>+'Summary Medians'!$R$138</f>
        <v>34098</v>
      </c>
      <c r="C251" s="21">
        <f>+'Summary Medians'!$X$138</f>
        <v>42419</v>
      </c>
      <c r="D251" s="21">
        <f>+'Summary Medians'!$AD$138</f>
        <v>44321</v>
      </c>
      <c r="E251" s="21">
        <f>+'Summary Medians'!$AJ$138</f>
        <v>29512</v>
      </c>
      <c r="F251" s="21">
        <f>+'Summary Medians'!$AP$138</f>
        <v>0</v>
      </c>
      <c r="G251" s="21">
        <f>+'Summary Medians'!$AV$138</f>
        <v>0</v>
      </c>
      <c r="H251" s="19">
        <f>+'Summary Medians'!$BB$138</f>
        <v>0</v>
      </c>
    </row>
    <row r="252" spans="1:8">
      <c r="A252" s="2"/>
      <c r="B252" s="21"/>
      <c r="C252" s="21"/>
      <c r="D252" s="21"/>
      <c r="E252" s="21"/>
      <c r="F252" s="21"/>
      <c r="G252" s="21"/>
      <c r="H252" s="19"/>
    </row>
    <row r="253" spans="1:8">
      <c r="A253" s="2" t="s">
        <v>146</v>
      </c>
      <c r="B253" s="21">
        <f>+'Summary Medians'!$R$155</f>
        <v>19620</v>
      </c>
      <c r="C253" s="21">
        <f>+'Summary Medians'!$X$155</f>
        <v>27142</v>
      </c>
      <c r="D253" s="21">
        <f>+'Summary Medians'!$AD$155</f>
        <v>26865</v>
      </c>
      <c r="E253" s="21">
        <f>+'Summary Medians'!$AJ$155</f>
        <v>23037</v>
      </c>
      <c r="F253" s="21">
        <f>+'Summary Medians'!$AP$155</f>
        <v>0</v>
      </c>
      <c r="G253" s="21">
        <f>+'Summary Medians'!$AV$155</f>
        <v>0</v>
      </c>
      <c r="H253" s="19">
        <f>+'Summary Medians'!$BB$155</f>
        <v>39184</v>
      </c>
    </row>
    <row r="254" spans="1:8">
      <c r="A254" s="2" t="s">
        <v>147</v>
      </c>
      <c r="B254" s="21">
        <f>+'Summary Medians'!$R$172</f>
        <v>23122</v>
      </c>
      <c r="C254" s="21">
        <f>+'Summary Medians'!$X$172</f>
        <v>35493.5</v>
      </c>
      <c r="D254" s="21">
        <f>+'Summary Medians'!$AD$172</f>
        <v>30856</v>
      </c>
      <c r="E254" s="21">
        <f>+'Summary Medians'!$AJ$172</f>
        <v>29797</v>
      </c>
      <c r="F254" s="21">
        <f>+'Summary Medians'!$AP$172</f>
        <v>0</v>
      </c>
      <c r="G254" s="21">
        <f>+'Summary Medians'!$AV$172</f>
        <v>0</v>
      </c>
      <c r="H254" s="19">
        <f>+'Summary Medians'!$BB$172</f>
        <v>33400</v>
      </c>
    </row>
    <row r="255" spans="1:8">
      <c r="A255" s="2" t="s">
        <v>148</v>
      </c>
      <c r="B255" s="21">
        <f>+'Summary Medians'!$R$189</f>
        <v>25764.5</v>
      </c>
      <c r="C255" s="21">
        <f>+'Summary Medians'!$X$189</f>
        <v>44765.5</v>
      </c>
      <c r="D255" s="21">
        <f>+'Summary Medians'!$AD$189</f>
        <v>41272.5</v>
      </c>
      <c r="E255" s="21">
        <f>+'Summary Medians'!$AJ$189</f>
        <v>24787.35</v>
      </c>
      <c r="F255" s="21">
        <f>+'Summary Medians'!$AP$189</f>
        <v>24982</v>
      </c>
      <c r="G255" s="21">
        <f>+'Summary Medians'!$AV$189</f>
        <v>37212.5</v>
      </c>
      <c r="H255" s="19">
        <f>+'Summary Medians'!$BB$189</f>
        <v>31570.16</v>
      </c>
    </row>
    <row r="256" spans="1:8">
      <c r="A256" s="2" t="s">
        <v>149</v>
      </c>
      <c r="B256" s="21">
        <f>+'Summary Medians'!$R$206</f>
        <v>35620</v>
      </c>
      <c r="C256" s="21">
        <f>+'Summary Medians'!$X$206</f>
        <v>66419</v>
      </c>
      <c r="D256" s="21">
        <f>+'Summary Medians'!$AD$206</f>
        <v>59054</v>
      </c>
      <c r="E256" s="21">
        <f>+'Summary Medians'!$AJ$206</f>
        <v>35294</v>
      </c>
      <c r="F256" s="21">
        <f>+'Summary Medians'!$AP$206</f>
        <v>0</v>
      </c>
      <c r="G256" s="21">
        <f>+'Summary Medians'!$AV$206</f>
        <v>0</v>
      </c>
      <c r="H256" s="19">
        <f>+'Summary Medians'!$BB$206</f>
        <v>0</v>
      </c>
    </row>
    <row r="257" spans="1:8" ht="15.75">
      <c r="A257" s="2"/>
      <c r="B257" s="475"/>
      <c r="C257" s="475"/>
      <c r="D257" s="475"/>
      <c r="E257" s="475"/>
      <c r="F257" s="475"/>
      <c r="G257" s="475"/>
      <c r="H257" s="272"/>
    </row>
    <row r="258" spans="1:8">
      <c r="A258" s="2" t="s">
        <v>150</v>
      </c>
      <c r="B258" s="21">
        <f>+'Summary Medians'!$R$223</f>
        <v>31740</v>
      </c>
      <c r="C258" s="21">
        <f>+'Summary Medians'!$X$223</f>
        <v>40935.5</v>
      </c>
      <c r="D258" s="21">
        <f>+'Summary Medians'!$AD$223</f>
        <v>44078</v>
      </c>
      <c r="E258" s="21">
        <f>+'Summary Medians'!$AJ$223</f>
        <v>26011.5</v>
      </c>
      <c r="F258" s="21">
        <f>+'Summary Medians'!$AP$223</f>
        <v>0</v>
      </c>
      <c r="G258" s="21">
        <f>+'Summary Medians'!$AV$223</f>
        <v>0</v>
      </c>
      <c r="H258" s="19">
        <f>+'Summary Medians'!$BB$223</f>
        <v>40724</v>
      </c>
    </row>
    <row r="259" spans="1:8">
      <c r="A259" s="6" t="s">
        <v>151</v>
      </c>
      <c r="B259" s="21">
        <f>+'Summary Medians'!$R$240</f>
        <v>18080</v>
      </c>
      <c r="C259" s="21">
        <f>+'Summary Medians'!$X$240</f>
        <v>26453</v>
      </c>
      <c r="D259" s="21">
        <f>+'Summary Medians'!$AD$240</f>
        <v>23910</v>
      </c>
      <c r="E259" s="21">
        <f>+'Summary Medians'!$AJ$240</f>
        <v>17127</v>
      </c>
      <c r="F259" s="21">
        <f>+'Summary Medians'!$AP$240</f>
        <v>29920</v>
      </c>
      <c r="G259" s="21">
        <f>+'Summary Medians'!$AV$240</f>
        <v>30627</v>
      </c>
      <c r="H259" s="19">
        <f>+'Summary Medians'!$BB$240</f>
        <v>24826</v>
      </c>
    </row>
    <row r="260" spans="1:8">
      <c r="A260" s="2" t="s">
        <v>217</v>
      </c>
      <c r="B260" s="21">
        <f>+'Summary Medians'!$R$257</f>
        <v>31948</v>
      </c>
      <c r="C260" s="21">
        <f>+'Summary Medians'!$X$257</f>
        <v>42087.5</v>
      </c>
      <c r="D260" s="21">
        <f>+'Summary Medians'!$AD$257</f>
        <v>45337</v>
      </c>
      <c r="E260" s="21">
        <f>+'Summary Medians'!$AJ$257</f>
        <v>27727</v>
      </c>
      <c r="F260" s="21">
        <f>+'Summary Medians'!$AP$257</f>
        <v>0</v>
      </c>
      <c r="G260" s="21">
        <f>+'Summary Medians'!$AV$257</f>
        <v>0</v>
      </c>
      <c r="H260" s="19">
        <f>+'Summary Medians'!$BB$257</f>
        <v>38270</v>
      </c>
    </row>
    <row r="261" spans="1:8">
      <c r="A261" s="8" t="s">
        <v>153</v>
      </c>
      <c r="B261" s="26">
        <f>+'Summary Medians'!$R$274</f>
        <v>24010</v>
      </c>
      <c r="C261" s="26">
        <f>+'Summary Medians'!$X$274</f>
        <v>43069</v>
      </c>
      <c r="D261" s="26">
        <f>+'Summary Medians'!$AD$274</f>
        <v>32656</v>
      </c>
      <c r="E261" s="26">
        <f>+'Summary Medians'!$AJ$274</f>
        <v>27074</v>
      </c>
      <c r="F261" s="26">
        <f>+'Summary Medians'!$AP$274</f>
        <v>0</v>
      </c>
      <c r="G261" s="26">
        <f>+'Summary Medians'!$AV$274</f>
        <v>50546</v>
      </c>
      <c r="H261" s="23">
        <f>+'Summary Medians'!$BB$274</f>
        <v>0</v>
      </c>
    </row>
    <row r="262" spans="1:8" ht="15.75">
      <c r="B262" s="475"/>
      <c r="C262" s="475"/>
      <c r="D262" s="475"/>
      <c r="E262" s="475"/>
      <c r="F262" s="475"/>
      <c r="G262" s="475"/>
      <c r="H262" s="272"/>
    </row>
    <row r="263" spans="1:8" ht="25.5" customHeight="1">
      <c r="A263" s="563" t="s">
        <v>209</v>
      </c>
      <c r="B263" s="563"/>
      <c r="C263" s="563"/>
      <c r="D263" s="563"/>
      <c r="E263" s="563"/>
      <c r="F263" s="563"/>
      <c r="G263" s="563"/>
      <c r="H263" s="563"/>
    </row>
    <row r="264" spans="1:8" ht="15.75">
      <c r="A264" s="475"/>
      <c r="B264" s="475"/>
      <c r="C264" s="475"/>
      <c r="D264" s="475"/>
      <c r="E264" s="475"/>
      <c r="F264" s="475"/>
      <c r="G264" s="475"/>
      <c r="H264" s="129" t="s">
        <v>1116</v>
      </c>
    </row>
  </sheetData>
  <mergeCells count="28">
    <mergeCell ref="A66:J66"/>
    <mergeCell ref="A32:H32"/>
    <mergeCell ref="A35:J35"/>
    <mergeCell ref="A37:J37"/>
    <mergeCell ref="A38:J38"/>
    <mergeCell ref="A39:J39"/>
    <mergeCell ref="A166:H166"/>
    <mergeCell ref="A98:H98"/>
    <mergeCell ref="A100:J100"/>
    <mergeCell ref="A102:J102"/>
    <mergeCell ref="A103:J103"/>
    <mergeCell ref="A104:J104"/>
    <mergeCell ref="A131:J131"/>
    <mergeCell ref="A133:H133"/>
    <mergeCell ref="A135:H135"/>
    <mergeCell ref="A136:H136"/>
    <mergeCell ref="A137:H137"/>
    <mergeCell ref="A164:H164"/>
    <mergeCell ref="A202:H202"/>
    <mergeCell ref="A203:H203"/>
    <mergeCell ref="A230:H230"/>
    <mergeCell ref="A263:H263"/>
    <mergeCell ref="A168:H168"/>
    <mergeCell ref="A169:H169"/>
    <mergeCell ref="A170:H170"/>
    <mergeCell ref="A197:H197"/>
    <mergeCell ref="A199:H199"/>
    <mergeCell ref="A201:H201"/>
  </mergeCells>
  <printOptions horizontalCentered="1"/>
  <pageMargins left="0.75" right="0.75" top="1" bottom="1" header="0.75" footer="0.5"/>
  <pageSetup scale="83" firstPageNumber="107" orientation="landscape" useFirstPageNumber="1" r:id="rId1"/>
  <headerFooter alignWithMargins="0">
    <oddHeader>&amp;R&amp;"Arial,Regular"&amp;8SREB-State Data Exchange</oddHeader>
    <oddFooter>&amp;C&amp;"ARIAL,Regular"&amp;10 &amp;P</oddFooter>
  </headerFooter>
  <rowBreaks count="7" manualBreakCount="7">
    <brk id="34" max="9" man="1"/>
    <brk id="67" max="9" man="1"/>
    <brk id="99" max="9" man="1"/>
    <brk id="132" max="9" man="1"/>
    <brk id="165" max="9" man="1"/>
    <brk id="198" max="9" man="1"/>
    <brk id="231" max="9" man="1"/>
  </rowBreaks>
</worksheet>
</file>

<file path=xl/worksheets/sheet4.xml><?xml version="1.0" encoding="utf-8"?>
<worksheet xmlns="http://schemas.openxmlformats.org/spreadsheetml/2006/main" xmlns:r="http://schemas.openxmlformats.org/officeDocument/2006/relationships">
  <sheetPr>
    <tabColor rgb="FF00B050"/>
  </sheetPr>
  <dimension ref="A1:BD292"/>
  <sheetViews>
    <sheetView showGridLines="0" showZeros="0" zoomScale="80" zoomScaleNormal="80" workbookViewId="0">
      <pane xSplit="2" ySplit="2" topLeftCell="C240" activePane="bottomRight" state="frozen"/>
      <selection pane="topRight" activeCell="C1" sqref="C1"/>
      <selection pane="bottomLeft" activeCell="A3" sqref="A3"/>
      <selection pane="bottomRight" activeCell="Q248" sqref="Q248"/>
    </sheetView>
  </sheetViews>
  <sheetFormatPr defaultColWidth="9" defaultRowHeight="12.75"/>
  <cols>
    <col min="1" max="1" width="5" style="243" customWidth="1"/>
    <col min="2" max="2" width="13.375" style="423" customWidth="1"/>
    <col min="3" max="3" width="6.25" style="243" customWidth="1"/>
    <col min="4" max="4" width="6" style="243" customWidth="1"/>
    <col min="5" max="5" width="8" style="514" customWidth="1"/>
    <col min="6" max="7" width="6.25" style="243" customWidth="1"/>
    <col min="8" max="8" width="8" style="243" customWidth="1"/>
    <col min="9" max="9" width="6.25" style="243" customWidth="1"/>
    <col min="10" max="10" width="6" style="243" customWidth="1"/>
    <col min="11" max="11" width="8" style="243" customWidth="1"/>
    <col min="12" max="13" width="6.25" style="243" customWidth="1"/>
    <col min="14" max="14" width="8" style="243" customWidth="1"/>
    <col min="15" max="15" width="6.25" style="243" customWidth="1"/>
    <col min="16" max="16" width="6.75" style="243" customWidth="1"/>
    <col min="17" max="17" width="8" style="243" customWidth="1"/>
    <col min="18" max="18" width="6.25" style="243" customWidth="1"/>
    <col min="19" max="19" width="6" style="243" customWidth="1"/>
    <col min="20" max="20" width="8" style="243" customWidth="1"/>
    <col min="21" max="21" width="7" style="243" customWidth="1"/>
    <col min="22" max="22" width="6.5" style="243" customWidth="1"/>
    <col min="23" max="23" width="8.25" style="243" customWidth="1"/>
    <col min="24" max="25" width="6.75" style="243" customWidth="1"/>
    <col min="26" max="26" width="8.25" style="243" customWidth="1"/>
    <col min="27" max="28" width="6.5" style="243" customWidth="1"/>
    <col min="29" max="29" width="8.25" style="243" customWidth="1"/>
    <col min="30" max="31" width="6.75" style="243" customWidth="1"/>
    <col min="32" max="32" width="8.25" style="243" customWidth="1"/>
    <col min="33" max="34" width="6.5" style="243" customWidth="1"/>
    <col min="35" max="35" width="8.25" style="243" customWidth="1"/>
    <col min="36" max="37" width="6.75" style="243" customWidth="1"/>
    <col min="38" max="38" width="8.25" style="243" customWidth="1"/>
    <col min="39" max="40" width="6.5" style="243" customWidth="1"/>
    <col min="41" max="41" width="8.25" style="243" customWidth="1"/>
    <col min="42" max="43" width="6.75" style="243" customWidth="1"/>
    <col min="44" max="44" width="8.25" style="243" customWidth="1"/>
    <col min="45" max="45" width="6.5" style="243" customWidth="1"/>
    <col min="46" max="46" width="6.75" style="243" customWidth="1"/>
    <col min="47" max="47" width="8.125" style="243" customWidth="1"/>
    <col min="48" max="48" width="6.25" style="243" customWidth="1"/>
    <col min="49" max="49" width="5.875" style="243" customWidth="1"/>
    <col min="50" max="50" width="8.125" style="243" customWidth="1"/>
    <col min="51" max="52" width="7.5" style="243" customWidth="1"/>
    <col min="53" max="53" width="8.125" style="243" customWidth="1"/>
    <col min="54" max="55" width="7.5" style="243" bestFit="1" customWidth="1"/>
    <col min="56" max="56" width="8.125" style="243" bestFit="1" customWidth="1"/>
    <col min="57" max="16384" width="9" style="243"/>
  </cols>
  <sheetData>
    <row r="1" spans="1:56" ht="25.5">
      <c r="A1" s="503" t="s">
        <v>195</v>
      </c>
      <c r="B1" s="504"/>
      <c r="C1" s="424" t="s">
        <v>269</v>
      </c>
      <c r="D1" s="241"/>
      <c r="E1" s="507"/>
      <c r="F1" s="424" t="s">
        <v>270</v>
      </c>
      <c r="G1" s="424"/>
      <c r="H1" s="424"/>
      <c r="I1" s="424" t="s">
        <v>271</v>
      </c>
      <c r="J1" s="424"/>
      <c r="K1" s="424"/>
      <c r="L1" s="424" t="s">
        <v>272</v>
      </c>
      <c r="M1" s="424"/>
      <c r="N1" s="242"/>
      <c r="O1" s="240" t="s">
        <v>273</v>
      </c>
      <c r="P1" s="241"/>
      <c r="Q1" s="242"/>
      <c r="R1" s="240" t="s">
        <v>274</v>
      </c>
      <c r="S1" s="241"/>
      <c r="T1" s="242"/>
      <c r="U1" s="240" t="s">
        <v>275</v>
      </c>
      <c r="V1" s="241"/>
      <c r="W1" s="242"/>
      <c r="X1" s="240" t="s">
        <v>276</v>
      </c>
      <c r="Y1" s="241"/>
      <c r="Z1" s="242"/>
      <c r="AA1" s="240" t="s">
        <v>277</v>
      </c>
      <c r="AB1" s="241"/>
      <c r="AC1" s="242"/>
      <c r="AD1" s="240" t="s">
        <v>278</v>
      </c>
      <c r="AE1" s="241"/>
      <c r="AF1" s="242"/>
      <c r="AG1" s="240" t="s">
        <v>229</v>
      </c>
      <c r="AH1" s="241"/>
      <c r="AI1" s="242"/>
      <c r="AJ1" s="240" t="s">
        <v>55</v>
      </c>
      <c r="AK1" s="241"/>
      <c r="AL1" s="242"/>
      <c r="AM1" s="240" t="s">
        <v>56</v>
      </c>
      <c r="AN1" s="241"/>
      <c r="AO1" s="242"/>
      <c r="AP1" s="240" t="s">
        <v>57</v>
      </c>
      <c r="AQ1" s="241"/>
      <c r="AR1" s="242"/>
      <c r="AS1" s="240" t="s">
        <v>227</v>
      </c>
      <c r="AT1" s="241"/>
      <c r="AU1" s="242"/>
      <c r="AV1" s="240" t="s">
        <v>226</v>
      </c>
      <c r="AW1" s="241"/>
      <c r="AX1" s="242"/>
      <c r="AY1" s="240" t="s">
        <v>225</v>
      </c>
      <c r="AZ1" s="241"/>
      <c r="BA1" s="242"/>
      <c r="BB1" s="240" t="s">
        <v>224</v>
      </c>
      <c r="BC1" s="241"/>
      <c r="BD1" s="242"/>
    </row>
    <row r="2" spans="1:56" s="246" customFormat="1" ht="25.5">
      <c r="A2" s="244" t="s">
        <v>633</v>
      </c>
      <c r="B2" s="422" t="s">
        <v>213</v>
      </c>
      <c r="C2" s="245" t="s">
        <v>266</v>
      </c>
      <c r="D2" s="245" t="s">
        <v>267</v>
      </c>
      <c r="E2" s="515" t="s">
        <v>268</v>
      </c>
      <c r="F2" s="245" t="s">
        <v>266</v>
      </c>
      <c r="G2" s="245" t="s">
        <v>267</v>
      </c>
      <c r="H2" s="443" t="s">
        <v>268</v>
      </c>
      <c r="I2" s="245" t="s">
        <v>266</v>
      </c>
      <c r="J2" s="245" t="s">
        <v>267</v>
      </c>
      <c r="K2" s="443" t="s">
        <v>268</v>
      </c>
      <c r="L2" s="245" t="s">
        <v>266</v>
      </c>
      <c r="M2" s="245" t="s">
        <v>267</v>
      </c>
      <c r="N2" s="442" t="s">
        <v>268</v>
      </c>
      <c r="O2" s="245" t="s">
        <v>266</v>
      </c>
      <c r="P2" s="245" t="s">
        <v>267</v>
      </c>
      <c r="Q2" s="442" t="s">
        <v>268</v>
      </c>
      <c r="R2" s="245" t="s">
        <v>266</v>
      </c>
      <c r="S2" s="245" t="s">
        <v>267</v>
      </c>
      <c r="T2" s="442" t="s">
        <v>268</v>
      </c>
      <c r="U2" s="245" t="s">
        <v>266</v>
      </c>
      <c r="V2" s="245" t="s">
        <v>267</v>
      </c>
      <c r="W2" s="442" t="s">
        <v>268</v>
      </c>
      <c r="X2" s="245" t="s">
        <v>266</v>
      </c>
      <c r="Y2" s="245" t="s">
        <v>267</v>
      </c>
      <c r="Z2" s="442" t="s">
        <v>268</v>
      </c>
      <c r="AA2" s="245" t="s">
        <v>266</v>
      </c>
      <c r="AB2" s="245" t="s">
        <v>267</v>
      </c>
      <c r="AC2" s="442" t="s">
        <v>268</v>
      </c>
      <c r="AD2" s="245" t="s">
        <v>266</v>
      </c>
      <c r="AE2" s="245" t="s">
        <v>267</v>
      </c>
      <c r="AF2" s="442" t="s">
        <v>268</v>
      </c>
      <c r="AG2" s="245" t="s">
        <v>266</v>
      </c>
      <c r="AH2" s="245" t="s">
        <v>267</v>
      </c>
      <c r="AI2" s="442" t="s">
        <v>268</v>
      </c>
      <c r="AJ2" s="245" t="s">
        <v>266</v>
      </c>
      <c r="AK2" s="245" t="s">
        <v>267</v>
      </c>
      <c r="AL2" s="442" t="s">
        <v>268</v>
      </c>
      <c r="AM2" s="245" t="s">
        <v>266</v>
      </c>
      <c r="AN2" s="245" t="s">
        <v>267</v>
      </c>
      <c r="AO2" s="442" t="s">
        <v>268</v>
      </c>
      <c r="AP2" s="245" t="s">
        <v>266</v>
      </c>
      <c r="AQ2" s="245" t="s">
        <v>267</v>
      </c>
      <c r="AR2" s="442" t="s">
        <v>268</v>
      </c>
      <c r="AS2" s="245" t="s">
        <v>266</v>
      </c>
      <c r="AT2" s="245" t="s">
        <v>267</v>
      </c>
      <c r="AU2" s="442" t="s">
        <v>268</v>
      </c>
      <c r="AV2" s="245" t="s">
        <v>266</v>
      </c>
      <c r="AW2" s="245" t="s">
        <v>267</v>
      </c>
      <c r="AX2" s="442" t="s">
        <v>268</v>
      </c>
      <c r="AY2" s="245" t="s">
        <v>266</v>
      </c>
      <c r="AZ2" s="245" t="s">
        <v>267</v>
      </c>
      <c r="BA2" s="442" t="s">
        <v>268</v>
      </c>
      <c r="BB2" s="245" t="s">
        <v>266</v>
      </c>
      <c r="BC2" s="245" t="s">
        <v>267</v>
      </c>
      <c r="BD2" s="442" t="s">
        <v>268</v>
      </c>
    </row>
    <row r="3" spans="1:56">
      <c r="A3" s="247" t="s">
        <v>632</v>
      </c>
      <c r="B3" s="426" t="s">
        <v>384</v>
      </c>
      <c r="C3" s="430">
        <v>6400</v>
      </c>
      <c r="D3" s="249">
        <v>6972</v>
      </c>
      <c r="E3" s="508">
        <f t="shared" ref="E3:E16" si="0">IF(C3&gt;0,(((D3-C3)/C3)*100),0)</f>
        <v>8.9375</v>
      </c>
      <c r="F3" s="430">
        <v>18000</v>
      </c>
      <c r="G3" s="249">
        <v>19200</v>
      </c>
      <c r="H3" s="437">
        <f t="shared" ref="H3:H18" si="1">IF(F3&gt;0,(((G3-F3)/F3)*100),0)</f>
        <v>6.666666666666667</v>
      </c>
      <c r="I3" s="436">
        <v>6400</v>
      </c>
      <c r="J3" s="436">
        <v>6924</v>
      </c>
      <c r="K3" s="437">
        <f t="shared" ref="K3:K18" si="2">IF(I3&gt;0,(((J3-I3)/I3)*100),0)</f>
        <v>8.1875</v>
      </c>
      <c r="L3" s="436">
        <v>18000</v>
      </c>
      <c r="M3" s="436">
        <v>19200</v>
      </c>
      <c r="N3" s="250">
        <f t="shared" ref="N3:N18" si="3">IF(L3&gt;0,(((M3-L3)/L3)*100),0)</f>
        <v>6.666666666666667</v>
      </c>
      <c r="O3" s="430"/>
      <c r="P3" s="249"/>
      <c r="Q3" s="250">
        <f t="shared" ref="Q3:Q19" si="4">IF(O3&gt;0,(((P3-O3)/O3)*100),0)</f>
        <v>0</v>
      </c>
      <c r="R3" s="430"/>
      <c r="S3" s="249"/>
      <c r="T3" s="250">
        <f t="shared" ref="T3:T19" si="5">IF(R3&gt;0,(((S3-R3)/R3)*100),0)</f>
        <v>0</v>
      </c>
      <c r="U3" s="430"/>
      <c r="V3" s="249"/>
      <c r="W3" s="250">
        <f t="shared" ref="W3:W19" si="6">IF(U3&gt;0,(((V3-U3)/U3)*100),0)</f>
        <v>0</v>
      </c>
      <c r="X3" s="430"/>
      <c r="Y3" s="249"/>
      <c r="Z3" s="250">
        <f t="shared" ref="Z3:Z19" si="7">IF(X3&gt;0,(((Y3-X3)/X3)*100),0)</f>
        <v>0</v>
      </c>
      <c r="AA3" s="430"/>
      <c r="AB3" s="249"/>
      <c r="AC3" s="250">
        <f t="shared" ref="AC3:AC19" si="8">IF(AA3&gt;0,(((AB3-AA3)/AA3)*100),0)</f>
        <v>0</v>
      </c>
      <c r="AD3" s="430"/>
      <c r="AE3" s="249"/>
      <c r="AF3" s="250">
        <f t="shared" ref="AF3:AF19" si="9">IF(AD3&gt;0,(((AE3-AD3)/AD3)*100),0)</f>
        <v>0</v>
      </c>
      <c r="AG3" s="430"/>
      <c r="AH3" s="249"/>
      <c r="AI3" s="250">
        <f t="shared" ref="AI3:AI19" si="10">IF(AG3&gt;0,(((AH3-AG3)/AG3)*100),0)</f>
        <v>0</v>
      </c>
      <c r="AJ3" s="430"/>
      <c r="AK3" s="249"/>
      <c r="AL3" s="250">
        <f t="shared" ref="AL3:AL19" si="11">IF(AJ3&gt;0,(((AK3-AJ3)/AJ3)*100),0)</f>
        <v>0</v>
      </c>
      <c r="AM3" s="430"/>
      <c r="AN3" s="249"/>
      <c r="AO3" s="250">
        <f t="shared" ref="AO3:AO19" si="12">IF(AM3&gt;0,(((AN3-AM3)/AM3)*100),0)</f>
        <v>0</v>
      </c>
      <c r="AP3" s="430"/>
      <c r="AQ3" s="249"/>
      <c r="AR3" s="250">
        <f t="shared" ref="AR3:AR19" si="13">IF(AP3&gt;0,(((AQ3-AP3)/AP3)*100),0)</f>
        <v>0</v>
      </c>
      <c r="AS3" s="430"/>
      <c r="AT3" s="249"/>
      <c r="AU3" s="250">
        <f t="shared" ref="AU3:AU19" si="14">IF(AS3&gt;0,(((AT3-AS3)/AS3)*100),0)</f>
        <v>0</v>
      </c>
      <c r="AV3" s="430"/>
      <c r="AW3" s="249"/>
      <c r="AX3" s="250">
        <f t="shared" ref="AX3:AX19" si="15">IF(AV3&gt;0,(((AW3-AV3)/AV3)*100),0)</f>
        <v>0</v>
      </c>
      <c r="AY3" s="430"/>
      <c r="AZ3" s="249"/>
      <c r="BA3" s="250">
        <f t="shared" ref="BA3:BA19" si="16">IF(AY3&gt;0,(((AZ3-AY3)/AY3)*100),0)</f>
        <v>0</v>
      </c>
      <c r="BB3" s="430"/>
      <c r="BC3" s="249"/>
      <c r="BD3" s="250">
        <f t="shared" ref="BD3:BD19" si="17">IF(BB3&gt;0,(((BC3-BB3)/BB3)*100),0)</f>
        <v>0</v>
      </c>
    </row>
    <row r="4" spans="1:56">
      <c r="A4" s="251"/>
      <c r="B4" s="259" t="s">
        <v>385</v>
      </c>
      <c r="C4" s="248">
        <v>5952</v>
      </c>
      <c r="D4" s="249">
        <v>6510</v>
      </c>
      <c r="E4" s="508">
        <f t="shared" si="0"/>
        <v>9.375</v>
      </c>
      <c r="F4" s="248">
        <v>13092</v>
      </c>
      <c r="G4" s="249">
        <v>15628</v>
      </c>
      <c r="H4" s="437">
        <f t="shared" si="1"/>
        <v>19.370608004888481</v>
      </c>
      <c r="I4" s="249">
        <v>7344</v>
      </c>
      <c r="J4" s="249">
        <v>8030</v>
      </c>
      <c r="K4" s="437">
        <f t="shared" si="2"/>
        <v>9.340958605664488</v>
      </c>
      <c r="L4" s="249">
        <v>16154</v>
      </c>
      <c r="M4" s="249">
        <v>19272</v>
      </c>
      <c r="N4" s="250">
        <f t="shared" si="3"/>
        <v>19.301720935991085</v>
      </c>
      <c r="O4" s="248"/>
      <c r="P4" s="249"/>
      <c r="Q4" s="250">
        <f t="shared" si="4"/>
        <v>0</v>
      </c>
      <c r="R4" s="248"/>
      <c r="S4" s="249"/>
      <c r="T4" s="250">
        <f t="shared" si="5"/>
        <v>0</v>
      </c>
      <c r="U4" s="248"/>
      <c r="V4" s="249"/>
      <c r="W4" s="250">
        <f t="shared" si="6"/>
        <v>0</v>
      </c>
      <c r="X4" s="248"/>
      <c r="Y4" s="249"/>
      <c r="Z4" s="250">
        <f t="shared" si="7"/>
        <v>0</v>
      </c>
      <c r="AA4" s="248"/>
      <c r="AB4" s="249"/>
      <c r="AC4" s="250">
        <f t="shared" si="8"/>
        <v>0</v>
      </c>
      <c r="AD4" s="248"/>
      <c r="AE4" s="249"/>
      <c r="AF4" s="250">
        <f t="shared" si="9"/>
        <v>0</v>
      </c>
      <c r="AG4" s="248"/>
      <c r="AH4" s="249"/>
      <c r="AI4" s="250">
        <f t="shared" si="10"/>
        <v>0</v>
      </c>
      <c r="AJ4" s="248"/>
      <c r="AK4" s="249"/>
      <c r="AL4" s="250">
        <f t="shared" si="11"/>
        <v>0</v>
      </c>
      <c r="AM4" s="248"/>
      <c r="AN4" s="249"/>
      <c r="AO4" s="250">
        <f t="shared" si="12"/>
        <v>0</v>
      </c>
      <c r="AP4" s="248"/>
      <c r="AQ4" s="249"/>
      <c r="AR4" s="250">
        <f t="shared" si="13"/>
        <v>0</v>
      </c>
      <c r="AS4" s="248"/>
      <c r="AT4" s="249"/>
      <c r="AU4" s="250">
        <f t="shared" si="14"/>
        <v>0</v>
      </c>
      <c r="AV4" s="248"/>
      <c r="AW4" s="249"/>
      <c r="AX4" s="250">
        <f t="shared" si="15"/>
        <v>0</v>
      </c>
      <c r="AY4" s="248"/>
      <c r="AZ4" s="249"/>
      <c r="BA4" s="250">
        <f t="shared" si="16"/>
        <v>0</v>
      </c>
      <c r="BB4" s="248"/>
      <c r="BC4" s="249"/>
      <c r="BD4" s="250">
        <f t="shared" si="17"/>
        <v>0</v>
      </c>
    </row>
    <row r="5" spans="1:56">
      <c r="A5" s="251"/>
      <c r="B5" s="259" t="s">
        <v>386</v>
      </c>
      <c r="C5" s="248">
        <v>5551</v>
      </c>
      <c r="D5" s="249">
        <v>6046</v>
      </c>
      <c r="E5" s="508">
        <f t="shared" si="0"/>
        <v>8.9173121960007204</v>
      </c>
      <c r="F5" s="248">
        <v>10411</v>
      </c>
      <c r="G5" s="249">
        <v>11611</v>
      </c>
      <c r="H5" s="437">
        <f t="shared" si="1"/>
        <v>11.526270291038324</v>
      </c>
      <c r="I5" s="249">
        <v>5820</v>
      </c>
      <c r="J5" s="249">
        <v>6455</v>
      </c>
      <c r="K5" s="437">
        <f t="shared" si="2"/>
        <v>10.9106529209622</v>
      </c>
      <c r="L5" s="249">
        <v>10764</v>
      </c>
      <c r="M5" s="249">
        <v>12462</v>
      </c>
      <c r="N5" s="250">
        <f t="shared" si="3"/>
        <v>15.774804905239687</v>
      </c>
      <c r="O5" s="248"/>
      <c r="P5" s="249"/>
      <c r="Q5" s="250">
        <f t="shared" si="4"/>
        <v>0</v>
      </c>
      <c r="R5" s="248"/>
      <c r="S5" s="249"/>
      <c r="T5" s="250">
        <f t="shared" si="5"/>
        <v>0</v>
      </c>
      <c r="U5" s="248"/>
      <c r="V5" s="249"/>
      <c r="W5" s="250">
        <f t="shared" si="6"/>
        <v>0</v>
      </c>
      <c r="X5" s="248"/>
      <c r="Y5" s="249"/>
      <c r="Z5" s="250">
        <f t="shared" si="7"/>
        <v>0</v>
      </c>
      <c r="AA5" s="248"/>
      <c r="AB5" s="249"/>
      <c r="AC5" s="250">
        <f t="shared" si="8"/>
        <v>0</v>
      </c>
      <c r="AD5" s="248"/>
      <c r="AE5" s="249"/>
      <c r="AF5" s="250">
        <f t="shared" si="9"/>
        <v>0</v>
      </c>
      <c r="AG5" s="248"/>
      <c r="AH5" s="249"/>
      <c r="AI5" s="250">
        <f t="shared" si="10"/>
        <v>0</v>
      </c>
      <c r="AJ5" s="248"/>
      <c r="AK5" s="249"/>
      <c r="AL5" s="250">
        <f t="shared" si="11"/>
        <v>0</v>
      </c>
      <c r="AM5" s="248"/>
      <c r="AN5" s="249"/>
      <c r="AO5" s="250">
        <f t="shared" si="12"/>
        <v>0</v>
      </c>
      <c r="AP5" s="248"/>
      <c r="AQ5" s="249"/>
      <c r="AR5" s="250">
        <f t="shared" si="13"/>
        <v>0</v>
      </c>
      <c r="AS5" s="248"/>
      <c r="AT5" s="249"/>
      <c r="AU5" s="250">
        <f t="shared" si="14"/>
        <v>0</v>
      </c>
      <c r="AV5" s="248"/>
      <c r="AW5" s="249"/>
      <c r="AX5" s="250">
        <f t="shared" si="15"/>
        <v>0</v>
      </c>
      <c r="AY5" s="248"/>
      <c r="AZ5" s="249"/>
      <c r="BA5" s="250">
        <f t="shared" si="16"/>
        <v>0</v>
      </c>
      <c r="BB5" s="248"/>
      <c r="BC5" s="249"/>
      <c r="BD5" s="250">
        <f t="shared" si="17"/>
        <v>0</v>
      </c>
    </row>
    <row r="6" spans="1:56">
      <c r="A6" s="251"/>
      <c r="B6" s="259" t="s">
        <v>387</v>
      </c>
      <c r="C6" s="248">
        <v>5580</v>
      </c>
      <c r="D6" s="249">
        <v>6042</v>
      </c>
      <c r="E6" s="508">
        <f t="shared" si="0"/>
        <v>8.279569892473118</v>
      </c>
      <c r="F6" s="248">
        <v>10188</v>
      </c>
      <c r="G6" s="249">
        <v>12084</v>
      </c>
      <c r="H6" s="437">
        <f t="shared" si="1"/>
        <v>18.610129564193166</v>
      </c>
      <c r="I6" s="249">
        <v>5586</v>
      </c>
      <c r="J6" s="249">
        <v>5946</v>
      </c>
      <c r="K6" s="437">
        <f t="shared" si="2"/>
        <v>6.4446831364124604</v>
      </c>
      <c r="L6" s="249">
        <v>11508</v>
      </c>
      <c r="M6" s="249">
        <v>14196</v>
      </c>
      <c r="N6" s="250">
        <f t="shared" si="3"/>
        <v>23.357664233576642</v>
      </c>
      <c r="O6" s="248"/>
      <c r="P6" s="249"/>
      <c r="Q6" s="250">
        <f t="shared" si="4"/>
        <v>0</v>
      </c>
      <c r="R6" s="248"/>
      <c r="S6" s="249"/>
      <c r="T6" s="250">
        <f t="shared" si="5"/>
        <v>0</v>
      </c>
      <c r="U6" s="248"/>
      <c r="V6" s="249"/>
      <c r="W6" s="250">
        <f t="shared" si="6"/>
        <v>0</v>
      </c>
      <c r="X6" s="248"/>
      <c r="Y6" s="249"/>
      <c r="Z6" s="250">
        <f t="shared" si="7"/>
        <v>0</v>
      </c>
      <c r="AA6" s="248"/>
      <c r="AB6" s="249"/>
      <c r="AC6" s="250">
        <f t="shared" si="8"/>
        <v>0</v>
      </c>
      <c r="AD6" s="248"/>
      <c r="AE6" s="249"/>
      <c r="AF6" s="250">
        <f t="shared" si="9"/>
        <v>0</v>
      </c>
      <c r="AG6" s="248"/>
      <c r="AH6" s="249"/>
      <c r="AI6" s="250">
        <f t="shared" si="10"/>
        <v>0</v>
      </c>
      <c r="AJ6" s="248"/>
      <c r="AK6" s="249"/>
      <c r="AL6" s="250">
        <f t="shared" si="11"/>
        <v>0</v>
      </c>
      <c r="AM6" s="248"/>
      <c r="AN6" s="249"/>
      <c r="AO6" s="250">
        <f t="shared" si="12"/>
        <v>0</v>
      </c>
      <c r="AP6" s="248"/>
      <c r="AQ6" s="249"/>
      <c r="AR6" s="250">
        <f t="shared" si="13"/>
        <v>0</v>
      </c>
      <c r="AS6" s="248"/>
      <c r="AT6" s="249"/>
      <c r="AU6" s="250">
        <f t="shared" si="14"/>
        <v>0</v>
      </c>
      <c r="AV6" s="248"/>
      <c r="AW6" s="249"/>
      <c r="AX6" s="250">
        <f t="shared" si="15"/>
        <v>0</v>
      </c>
      <c r="AY6" s="248"/>
      <c r="AZ6" s="249"/>
      <c r="BA6" s="250">
        <f t="shared" si="16"/>
        <v>0</v>
      </c>
      <c r="BB6" s="248"/>
      <c r="BC6" s="249"/>
      <c r="BD6" s="250">
        <f t="shared" si="17"/>
        <v>0</v>
      </c>
    </row>
    <row r="7" spans="1:56">
      <c r="A7" s="251"/>
      <c r="B7" s="259" t="s">
        <v>388</v>
      </c>
      <c r="C7" s="248">
        <v>5875</v>
      </c>
      <c r="D7" s="249">
        <v>6395</v>
      </c>
      <c r="E7" s="508">
        <f t="shared" si="0"/>
        <v>8.8510638297872344</v>
      </c>
      <c r="F7" s="248">
        <v>11250</v>
      </c>
      <c r="G7" s="249">
        <v>12195</v>
      </c>
      <c r="H7" s="437">
        <f t="shared" si="1"/>
        <v>8.4</v>
      </c>
      <c r="I7" s="249">
        <v>5605</v>
      </c>
      <c r="J7" s="249">
        <v>6037</v>
      </c>
      <c r="K7" s="437">
        <f t="shared" si="2"/>
        <v>7.7074041034790364</v>
      </c>
      <c r="L7" s="249">
        <v>10909</v>
      </c>
      <c r="M7" s="249">
        <v>11773</v>
      </c>
      <c r="N7" s="250">
        <f t="shared" si="3"/>
        <v>7.9200660005500048</v>
      </c>
      <c r="O7" s="248"/>
      <c r="P7" s="249"/>
      <c r="Q7" s="250">
        <f t="shared" si="4"/>
        <v>0</v>
      </c>
      <c r="R7" s="248"/>
      <c r="S7" s="249"/>
      <c r="T7" s="250">
        <f t="shared" si="5"/>
        <v>0</v>
      </c>
      <c r="U7" s="248"/>
      <c r="V7" s="249"/>
      <c r="W7" s="250">
        <f t="shared" si="6"/>
        <v>0</v>
      </c>
      <c r="X7" s="248"/>
      <c r="Y7" s="249"/>
      <c r="Z7" s="250">
        <f t="shared" si="7"/>
        <v>0</v>
      </c>
      <c r="AA7" s="248"/>
      <c r="AB7" s="249"/>
      <c r="AC7" s="250">
        <f t="shared" si="8"/>
        <v>0</v>
      </c>
      <c r="AD7" s="248"/>
      <c r="AE7" s="249"/>
      <c r="AF7" s="250">
        <f t="shared" si="9"/>
        <v>0</v>
      </c>
      <c r="AG7" s="248"/>
      <c r="AH7" s="249"/>
      <c r="AI7" s="250">
        <f t="shared" si="10"/>
        <v>0</v>
      </c>
      <c r="AJ7" s="248"/>
      <c r="AK7" s="249"/>
      <c r="AL7" s="250">
        <f t="shared" si="11"/>
        <v>0</v>
      </c>
      <c r="AM7" s="248"/>
      <c r="AN7" s="249"/>
      <c r="AO7" s="250">
        <f t="shared" si="12"/>
        <v>0</v>
      </c>
      <c r="AP7" s="248"/>
      <c r="AQ7" s="249"/>
      <c r="AR7" s="250">
        <f t="shared" si="13"/>
        <v>0</v>
      </c>
      <c r="AS7" s="248"/>
      <c r="AT7" s="249"/>
      <c r="AU7" s="250">
        <f t="shared" si="14"/>
        <v>0</v>
      </c>
      <c r="AV7" s="248"/>
      <c r="AW7" s="249"/>
      <c r="AX7" s="250">
        <f t="shared" si="15"/>
        <v>0</v>
      </c>
      <c r="AY7" s="248"/>
      <c r="AZ7" s="249"/>
      <c r="BA7" s="250">
        <f t="shared" si="16"/>
        <v>0</v>
      </c>
      <c r="BB7" s="248"/>
      <c r="BC7" s="249"/>
      <c r="BD7" s="250">
        <f t="shared" si="17"/>
        <v>0</v>
      </c>
    </row>
    <row r="8" spans="1:56">
      <c r="A8" s="251"/>
      <c r="B8" s="259" t="s">
        <v>389</v>
      </c>
      <c r="C8" s="248">
        <v>4050</v>
      </c>
      <c r="D8" s="249">
        <v>4350</v>
      </c>
      <c r="E8" s="508">
        <f t="shared" si="0"/>
        <v>7.4074074074074066</v>
      </c>
      <c r="F8" s="248">
        <v>7350</v>
      </c>
      <c r="G8" s="249">
        <v>7950</v>
      </c>
      <c r="H8" s="437">
        <f t="shared" si="1"/>
        <v>8.1632653061224492</v>
      </c>
      <c r="I8" s="249"/>
      <c r="J8" s="249"/>
      <c r="K8" s="437">
        <f t="shared" si="2"/>
        <v>0</v>
      </c>
      <c r="L8" s="249"/>
      <c r="M8" s="249"/>
      <c r="N8" s="250">
        <f t="shared" si="3"/>
        <v>0</v>
      </c>
      <c r="O8" s="248"/>
      <c r="P8" s="249"/>
      <c r="Q8" s="250">
        <f t="shared" si="4"/>
        <v>0</v>
      </c>
      <c r="R8" s="248"/>
      <c r="S8" s="249"/>
      <c r="T8" s="250">
        <f t="shared" si="5"/>
        <v>0</v>
      </c>
      <c r="U8" s="248"/>
      <c r="V8" s="249"/>
      <c r="W8" s="250">
        <f t="shared" si="6"/>
        <v>0</v>
      </c>
      <c r="X8" s="248"/>
      <c r="Y8" s="249"/>
      <c r="Z8" s="250">
        <f t="shared" si="7"/>
        <v>0</v>
      </c>
      <c r="AA8" s="248"/>
      <c r="AB8" s="249"/>
      <c r="AC8" s="250">
        <f t="shared" si="8"/>
        <v>0</v>
      </c>
      <c r="AD8" s="248"/>
      <c r="AE8" s="249"/>
      <c r="AF8" s="250">
        <f t="shared" si="9"/>
        <v>0</v>
      </c>
      <c r="AG8" s="248"/>
      <c r="AH8" s="249"/>
      <c r="AI8" s="250">
        <f t="shared" si="10"/>
        <v>0</v>
      </c>
      <c r="AJ8" s="248"/>
      <c r="AK8" s="249"/>
      <c r="AL8" s="250">
        <f t="shared" si="11"/>
        <v>0</v>
      </c>
      <c r="AM8" s="248"/>
      <c r="AN8" s="249"/>
      <c r="AO8" s="250">
        <f t="shared" si="12"/>
        <v>0</v>
      </c>
      <c r="AP8" s="248"/>
      <c r="AQ8" s="249"/>
      <c r="AR8" s="250">
        <f t="shared" si="13"/>
        <v>0</v>
      </c>
      <c r="AS8" s="248"/>
      <c r="AT8" s="249"/>
      <c r="AU8" s="250">
        <f t="shared" si="14"/>
        <v>0</v>
      </c>
      <c r="AV8" s="248"/>
      <c r="AW8" s="249"/>
      <c r="AX8" s="250">
        <f t="shared" si="15"/>
        <v>0</v>
      </c>
      <c r="AY8" s="248"/>
      <c r="AZ8" s="249"/>
      <c r="BA8" s="250">
        <f t="shared" si="16"/>
        <v>0</v>
      </c>
      <c r="BB8" s="248"/>
      <c r="BC8" s="249"/>
      <c r="BD8" s="250">
        <f t="shared" si="17"/>
        <v>0</v>
      </c>
    </row>
    <row r="9" spans="1:56" s="255" customFormat="1" ht="19.5" customHeight="1">
      <c r="A9" s="252"/>
      <c r="B9" s="259" t="s">
        <v>221</v>
      </c>
      <c r="C9" s="248">
        <v>5594</v>
      </c>
      <c r="D9" s="249">
        <v>6185</v>
      </c>
      <c r="E9" s="508">
        <f t="shared" si="0"/>
        <v>10.564890954594208</v>
      </c>
      <c r="F9" s="248">
        <v>11150</v>
      </c>
      <c r="G9" s="249">
        <v>12282</v>
      </c>
      <c r="H9" s="437">
        <f t="shared" si="1"/>
        <v>10.152466367713005</v>
      </c>
      <c r="I9" s="249">
        <v>5768</v>
      </c>
      <c r="J9" s="249">
        <v>6334</v>
      </c>
      <c r="K9" s="437">
        <f t="shared" si="2"/>
        <v>9.8127600554785026</v>
      </c>
      <c r="L9" s="249">
        <v>11508</v>
      </c>
      <c r="M9" s="249">
        <v>13152</v>
      </c>
      <c r="N9" s="250">
        <f t="shared" si="3"/>
        <v>14.285714285714285</v>
      </c>
      <c r="O9" s="248"/>
      <c r="P9" s="249"/>
      <c r="Q9" s="250">
        <f t="shared" si="4"/>
        <v>0</v>
      </c>
      <c r="R9" s="248"/>
      <c r="S9" s="249"/>
      <c r="T9" s="250">
        <f t="shared" si="5"/>
        <v>0</v>
      </c>
      <c r="U9" s="248"/>
      <c r="V9" s="249"/>
      <c r="W9" s="250">
        <f t="shared" si="6"/>
        <v>0</v>
      </c>
      <c r="X9" s="248"/>
      <c r="Y9" s="249"/>
      <c r="Z9" s="250">
        <f t="shared" si="7"/>
        <v>0</v>
      </c>
      <c r="AA9" s="248"/>
      <c r="AB9" s="249"/>
      <c r="AC9" s="250">
        <f t="shared" si="8"/>
        <v>0</v>
      </c>
      <c r="AD9" s="248"/>
      <c r="AE9" s="249"/>
      <c r="AF9" s="250">
        <f t="shared" si="9"/>
        <v>0</v>
      </c>
      <c r="AG9" s="248"/>
      <c r="AH9" s="249"/>
      <c r="AI9" s="250">
        <f t="shared" si="10"/>
        <v>0</v>
      </c>
      <c r="AJ9" s="248"/>
      <c r="AK9" s="249"/>
      <c r="AL9" s="250">
        <f t="shared" si="11"/>
        <v>0</v>
      </c>
      <c r="AM9" s="248"/>
      <c r="AN9" s="249"/>
      <c r="AO9" s="250">
        <f t="shared" si="12"/>
        <v>0</v>
      </c>
      <c r="AP9" s="248"/>
      <c r="AQ9" s="249"/>
      <c r="AR9" s="250">
        <f t="shared" si="13"/>
        <v>0</v>
      </c>
      <c r="AS9" s="248"/>
      <c r="AT9" s="249"/>
      <c r="AU9" s="250">
        <f t="shared" si="14"/>
        <v>0</v>
      </c>
      <c r="AV9" s="248"/>
      <c r="AW9" s="249"/>
      <c r="AX9" s="250">
        <f t="shared" si="15"/>
        <v>0</v>
      </c>
      <c r="AY9" s="248"/>
      <c r="AZ9" s="249"/>
      <c r="BA9" s="250">
        <f t="shared" si="16"/>
        <v>0</v>
      </c>
      <c r="BB9" s="248"/>
      <c r="BC9" s="249"/>
      <c r="BD9" s="250">
        <f t="shared" si="17"/>
        <v>0</v>
      </c>
    </row>
    <row r="10" spans="1:56">
      <c r="A10" s="251"/>
      <c r="B10" s="259" t="s">
        <v>390</v>
      </c>
      <c r="C10" s="249"/>
      <c r="D10" s="249"/>
      <c r="E10" s="508">
        <f t="shared" si="0"/>
        <v>0</v>
      </c>
      <c r="F10" s="249"/>
      <c r="G10" s="249"/>
      <c r="H10" s="437">
        <f t="shared" si="1"/>
        <v>0</v>
      </c>
      <c r="I10" s="249"/>
      <c r="J10" s="249"/>
      <c r="K10" s="437">
        <f t="shared" si="2"/>
        <v>0</v>
      </c>
      <c r="L10" s="249"/>
      <c r="M10" s="249"/>
      <c r="N10" s="250">
        <f t="shared" si="3"/>
        <v>0</v>
      </c>
      <c r="O10" s="249"/>
      <c r="P10" s="249"/>
      <c r="Q10" s="250">
        <f t="shared" si="4"/>
        <v>0</v>
      </c>
      <c r="R10" s="249"/>
      <c r="S10" s="249"/>
      <c r="T10" s="250">
        <f t="shared" si="5"/>
        <v>0</v>
      </c>
      <c r="U10" s="249"/>
      <c r="V10" s="249"/>
      <c r="W10" s="250">
        <f t="shared" si="6"/>
        <v>0</v>
      </c>
      <c r="X10" s="249"/>
      <c r="Y10" s="249"/>
      <c r="Z10" s="250">
        <f t="shared" si="7"/>
        <v>0</v>
      </c>
      <c r="AA10" s="249"/>
      <c r="AB10" s="249"/>
      <c r="AC10" s="250">
        <f t="shared" si="8"/>
        <v>0</v>
      </c>
      <c r="AD10" s="249"/>
      <c r="AE10" s="249"/>
      <c r="AF10" s="250">
        <f t="shared" si="9"/>
        <v>0</v>
      </c>
      <c r="AG10" s="249"/>
      <c r="AH10" s="249"/>
      <c r="AI10" s="250">
        <f t="shared" si="10"/>
        <v>0</v>
      </c>
      <c r="AJ10" s="249"/>
      <c r="AK10" s="249"/>
      <c r="AL10" s="250">
        <f t="shared" si="11"/>
        <v>0</v>
      </c>
      <c r="AM10" s="249"/>
      <c r="AN10" s="249"/>
      <c r="AO10" s="250">
        <f t="shared" si="12"/>
        <v>0</v>
      </c>
      <c r="AP10" s="249"/>
      <c r="AQ10" s="249"/>
      <c r="AR10" s="250">
        <f t="shared" si="13"/>
        <v>0</v>
      </c>
      <c r="AS10" s="249"/>
      <c r="AT10" s="249"/>
      <c r="AU10" s="250">
        <f t="shared" si="14"/>
        <v>0</v>
      </c>
      <c r="AV10" s="249"/>
      <c r="AW10" s="249"/>
      <c r="AX10" s="250">
        <f t="shared" si="15"/>
        <v>0</v>
      </c>
      <c r="AY10" s="249"/>
      <c r="AZ10" s="249"/>
      <c r="BA10" s="250">
        <f t="shared" si="16"/>
        <v>0</v>
      </c>
      <c r="BB10" s="249"/>
      <c r="BC10" s="249"/>
      <c r="BD10" s="250">
        <f t="shared" si="17"/>
        <v>0</v>
      </c>
    </row>
    <row r="11" spans="1:56">
      <c r="A11" s="251"/>
      <c r="B11" s="259" t="s">
        <v>391</v>
      </c>
      <c r="C11" s="249">
        <v>2955</v>
      </c>
      <c r="D11" s="249">
        <v>2955</v>
      </c>
      <c r="E11" s="508">
        <f t="shared" si="0"/>
        <v>0</v>
      </c>
      <c r="F11" s="249">
        <v>5085</v>
      </c>
      <c r="G11" s="249">
        <v>5085</v>
      </c>
      <c r="H11" s="437">
        <f t="shared" si="1"/>
        <v>0</v>
      </c>
      <c r="I11" s="249"/>
      <c r="J11" s="249"/>
      <c r="K11" s="437">
        <f t="shared" si="2"/>
        <v>0</v>
      </c>
      <c r="L11" s="249"/>
      <c r="M11" s="249"/>
      <c r="N11" s="250">
        <f t="shared" si="3"/>
        <v>0</v>
      </c>
      <c r="O11" s="249"/>
      <c r="P11" s="249"/>
      <c r="Q11" s="250">
        <f t="shared" si="4"/>
        <v>0</v>
      </c>
      <c r="R11" s="249"/>
      <c r="S11" s="249"/>
      <c r="T11" s="250">
        <f t="shared" si="5"/>
        <v>0</v>
      </c>
      <c r="U11" s="249"/>
      <c r="V11" s="249"/>
      <c r="W11" s="250">
        <f t="shared" si="6"/>
        <v>0</v>
      </c>
      <c r="X11" s="249"/>
      <c r="Y11" s="249"/>
      <c r="Z11" s="250">
        <f t="shared" si="7"/>
        <v>0</v>
      </c>
      <c r="AA11" s="249"/>
      <c r="AB11" s="249"/>
      <c r="AC11" s="250">
        <f t="shared" si="8"/>
        <v>0</v>
      </c>
      <c r="AD11" s="249"/>
      <c r="AE11" s="249"/>
      <c r="AF11" s="250">
        <f t="shared" si="9"/>
        <v>0</v>
      </c>
      <c r="AG11" s="249"/>
      <c r="AH11" s="249"/>
      <c r="AI11" s="250">
        <f t="shared" si="10"/>
        <v>0</v>
      </c>
      <c r="AJ11" s="249"/>
      <c r="AK11" s="249"/>
      <c r="AL11" s="250">
        <f t="shared" si="11"/>
        <v>0</v>
      </c>
      <c r="AM11" s="249"/>
      <c r="AN11" s="249"/>
      <c r="AO11" s="250">
        <f t="shared" si="12"/>
        <v>0</v>
      </c>
      <c r="AP11" s="249"/>
      <c r="AQ11" s="249"/>
      <c r="AR11" s="250">
        <f t="shared" si="13"/>
        <v>0</v>
      </c>
      <c r="AS11" s="249"/>
      <c r="AT11" s="249"/>
      <c r="AU11" s="250">
        <f t="shared" si="14"/>
        <v>0</v>
      </c>
      <c r="AV11" s="249"/>
      <c r="AW11" s="249"/>
      <c r="AX11" s="250">
        <f t="shared" si="15"/>
        <v>0</v>
      </c>
      <c r="AY11" s="249"/>
      <c r="AZ11" s="249"/>
      <c r="BA11" s="250">
        <f t="shared" si="16"/>
        <v>0</v>
      </c>
      <c r="BB11" s="249"/>
      <c r="BC11" s="249"/>
      <c r="BD11" s="250">
        <f t="shared" si="17"/>
        <v>0</v>
      </c>
    </row>
    <row r="12" spans="1:56">
      <c r="A12" s="251"/>
      <c r="B12" s="259" t="s">
        <v>392</v>
      </c>
      <c r="C12" s="249">
        <v>2700</v>
      </c>
      <c r="D12" s="249">
        <v>2700</v>
      </c>
      <c r="E12" s="508">
        <f t="shared" si="0"/>
        <v>0</v>
      </c>
      <c r="F12" s="249">
        <v>4830</v>
      </c>
      <c r="G12" s="249">
        <v>4830</v>
      </c>
      <c r="H12" s="437">
        <f t="shared" si="1"/>
        <v>0</v>
      </c>
      <c r="I12" s="249"/>
      <c r="J12" s="249"/>
      <c r="K12" s="437">
        <f t="shared" si="2"/>
        <v>0</v>
      </c>
      <c r="L12" s="249"/>
      <c r="M12" s="249"/>
      <c r="N12" s="250">
        <f t="shared" si="3"/>
        <v>0</v>
      </c>
      <c r="O12" s="249"/>
      <c r="P12" s="249"/>
      <c r="Q12" s="250">
        <f t="shared" si="4"/>
        <v>0</v>
      </c>
      <c r="R12" s="249"/>
      <c r="S12" s="249"/>
      <c r="T12" s="250">
        <f t="shared" si="5"/>
        <v>0</v>
      </c>
      <c r="U12" s="249"/>
      <c r="V12" s="249"/>
      <c r="W12" s="250">
        <f t="shared" si="6"/>
        <v>0</v>
      </c>
      <c r="X12" s="249"/>
      <c r="Y12" s="249"/>
      <c r="Z12" s="250">
        <f t="shared" si="7"/>
        <v>0</v>
      </c>
      <c r="AA12" s="249"/>
      <c r="AB12" s="249"/>
      <c r="AC12" s="250">
        <f t="shared" si="8"/>
        <v>0</v>
      </c>
      <c r="AD12" s="249"/>
      <c r="AE12" s="249"/>
      <c r="AF12" s="250">
        <f t="shared" si="9"/>
        <v>0</v>
      </c>
      <c r="AG12" s="249"/>
      <c r="AH12" s="249"/>
      <c r="AI12" s="250">
        <f t="shared" si="10"/>
        <v>0</v>
      </c>
      <c r="AJ12" s="249"/>
      <c r="AK12" s="249"/>
      <c r="AL12" s="250">
        <f t="shared" si="11"/>
        <v>0</v>
      </c>
      <c r="AM12" s="249"/>
      <c r="AN12" s="249"/>
      <c r="AO12" s="250">
        <f t="shared" si="12"/>
        <v>0</v>
      </c>
      <c r="AP12" s="249"/>
      <c r="AQ12" s="249"/>
      <c r="AR12" s="250">
        <f t="shared" si="13"/>
        <v>0</v>
      </c>
      <c r="AS12" s="249"/>
      <c r="AT12" s="249"/>
      <c r="AU12" s="250">
        <f t="shared" si="14"/>
        <v>0</v>
      </c>
      <c r="AV12" s="249"/>
      <c r="AW12" s="249"/>
      <c r="AX12" s="250">
        <f t="shared" si="15"/>
        <v>0</v>
      </c>
      <c r="AY12" s="249"/>
      <c r="AZ12" s="249"/>
      <c r="BA12" s="250">
        <f t="shared" si="16"/>
        <v>0</v>
      </c>
      <c r="BB12" s="249"/>
      <c r="BC12" s="249"/>
      <c r="BD12" s="250">
        <f t="shared" si="17"/>
        <v>0</v>
      </c>
    </row>
    <row r="13" spans="1:56">
      <c r="A13" s="251"/>
      <c r="B13" s="259" t="s">
        <v>196</v>
      </c>
      <c r="C13" s="249">
        <v>2700</v>
      </c>
      <c r="D13" s="249">
        <v>2700</v>
      </c>
      <c r="E13" s="508">
        <f t="shared" si="0"/>
        <v>0</v>
      </c>
      <c r="F13" s="249">
        <v>4830</v>
      </c>
      <c r="G13" s="249">
        <v>4830</v>
      </c>
      <c r="H13" s="437">
        <f t="shared" si="1"/>
        <v>0</v>
      </c>
      <c r="I13" s="249"/>
      <c r="J13" s="249"/>
      <c r="K13" s="437">
        <f t="shared" si="2"/>
        <v>0</v>
      </c>
      <c r="L13" s="249"/>
      <c r="M13" s="249"/>
      <c r="N13" s="250">
        <f t="shared" si="3"/>
        <v>0</v>
      </c>
      <c r="O13" s="249"/>
      <c r="P13" s="249"/>
      <c r="Q13" s="250">
        <f t="shared" si="4"/>
        <v>0</v>
      </c>
      <c r="R13" s="249"/>
      <c r="S13" s="249"/>
      <c r="T13" s="250">
        <f t="shared" si="5"/>
        <v>0</v>
      </c>
      <c r="U13" s="249"/>
      <c r="V13" s="249"/>
      <c r="W13" s="250">
        <f t="shared" si="6"/>
        <v>0</v>
      </c>
      <c r="X13" s="249"/>
      <c r="Y13" s="249"/>
      <c r="Z13" s="250">
        <f t="shared" si="7"/>
        <v>0</v>
      </c>
      <c r="AA13" s="249"/>
      <c r="AB13" s="249"/>
      <c r="AC13" s="250">
        <f t="shared" si="8"/>
        <v>0</v>
      </c>
      <c r="AD13" s="249"/>
      <c r="AE13" s="249"/>
      <c r="AF13" s="250">
        <f t="shared" si="9"/>
        <v>0</v>
      </c>
      <c r="AG13" s="249"/>
      <c r="AH13" s="249"/>
      <c r="AI13" s="250">
        <f t="shared" si="10"/>
        <v>0</v>
      </c>
      <c r="AJ13" s="249"/>
      <c r="AK13" s="249"/>
      <c r="AL13" s="250">
        <f t="shared" si="11"/>
        <v>0</v>
      </c>
      <c r="AM13" s="249"/>
      <c r="AN13" s="249"/>
      <c r="AO13" s="250">
        <f t="shared" si="12"/>
        <v>0</v>
      </c>
      <c r="AP13" s="249"/>
      <c r="AQ13" s="249"/>
      <c r="AR13" s="250">
        <f t="shared" si="13"/>
        <v>0</v>
      </c>
      <c r="AS13" s="249"/>
      <c r="AT13" s="249"/>
      <c r="AU13" s="250">
        <f t="shared" si="14"/>
        <v>0</v>
      </c>
      <c r="AV13" s="249"/>
      <c r="AW13" s="249"/>
      <c r="AX13" s="250">
        <f t="shared" si="15"/>
        <v>0</v>
      </c>
      <c r="AY13" s="249"/>
      <c r="AZ13" s="249"/>
      <c r="BA13" s="250">
        <f t="shared" si="16"/>
        <v>0</v>
      </c>
      <c r="BB13" s="249"/>
      <c r="BC13" s="249"/>
      <c r="BD13" s="250">
        <f t="shared" si="17"/>
        <v>0</v>
      </c>
    </row>
    <row r="14" spans="1:56" s="255" customFormat="1" ht="20.25" customHeight="1">
      <c r="A14" s="252"/>
      <c r="B14" s="431" t="s">
        <v>550</v>
      </c>
      <c r="C14" s="425">
        <v>2700</v>
      </c>
      <c r="D14" s="425">
        <v>2700</v>
      </c>
      <c r="E14" s="509">
        <f t="shared" si="0"/>
        <v>0</v>
      </c>
      <c r="F14" s="425">
        <v>4830</v>
      </c>
      <c r="G14" s="425">
        <v>4830</v>
      </c>
      <c r="H14" s="438">
        <f t="shared" si="1"/>
        <v>0</v>
      </c>
      <c r="I14" s="425"/>
      <c r="J14" s="425"/>
      <c r="K14" s="438">
        <f t="shared" si="2"/>
        <v>0</v>
      </c>
      <c r="L14" s="425"/>
      <c r="M14" s="425"/>
      <c r="N14" s="421">
        <f t="shared" si="3"/>
        <v>0</v>
      </c>
      <c r="O14" s="425"/>
      <c r="P14" s="425"/>
      <c r="Q14" s="421">
        <f t="shared" si="4"/>
        <v>0</v>
      </c>
      <c r="R14" s="425"/>
      <c r="S14" s="425"/>
      <c r="T14" s="421">
        <f t="shared" si="5"/>
        <v>0</v>
      </c>
      <c r="U14" s="425"/>
      <c r="V14" s="425"/>
      <c r="W14" s="421">
        <f t="shared" si="6"/>
        <v>0</v>
      </c>
      <c r="X14" s="425"/>
      <c r="Y14" s="425"/>
      <c r="Z14" s="421">
        <f t="shared" si="7"/>
        <v>0</v>
      </c>
      <c r="AA14" s="425"/>
      <c r="AB14" s="425"/>
      <c r="AC14" s="421">
        <f t="shared" si="8"/>
        <v>0</v>
      </c>
      <c r="AD14" s="425"/>
      <c r="AE14" s="425"/>
      <c r="AF14" s="421">
        <f t="shared" si="9"/>
        <v>0</v>
      </c>
      <c r="AG14" s="425"/>
      <c r="AH14" s="425"/>
      <c r="AI14" s="421">
        <f t="shared" si="10"/>
        <v>0</v>
      </c>
      <c r="AJ14" s="425"/>
      <c r="AK14" s="425"/>
      <c r="AL14" s="421">
        <f t="shared" si="11"/>
        <v>0</v>
      </c>
      <c r="AM14" s="425"/>
      <c r="AN14" s="425"/>
      <c r="AO14" s="421">
        <f t="shared" si="12"/>
        <v>0</v>
      </c>
      <c r="AP14" s="425"/>
      <c r="AQ14" s="425"/>
      <c r="AR14" s="421">
        <f t="shared" si="13"/>
        <v>0</v>
      </c>
      <c r="AS14" s="425"/>
      <c r="AT14" s="425"/>
      <c r="AU14" s="421">
        <f t="shared" si="14"/>
        <v>0</v>
      </c>
      <c r="AV14" s="425"/>
      <c r="AW14" s="425"/>
      <c r="AX14" s="421">
        <f t="shared" si="15"/>
        <v>0</v>
      </c>
      <c r="AY14" s="425"/>
      <c r="AZ14" s="425"/>
      <c r="BA14" s="421">
        <f t="shared" si="16"/>
        <v>0</v>
      </c>
      <c r="BB14" s="425"/>
      <c r="BC14" s="425"/>
      <c r="BD14" s="421">
        <f t="shared" si="17"/>
        <v>0</v>
      </c>
    </row>
    <row r="15" spans="1:56">
      <c r="A15" s="251"/>
      <c r="B15" s="259" t="s">
        <v>197</v>
      </c>
      <c r="C15" s="249">
        <v>2700</v>
      </c>
      <c r="D15" s="249">
        <v>2700</v>
      </c>
      <c r="E15" s="508">
        <f t="shared" si="0"/>
        <v>0</v>
      </c>
      <c r="F15" s="249">
        <v>4830</v>
      </c>
      <c r="G15" s="249">
        <v>4830</v>
      </c>
      <c r="H15" s="437">
        <f t="shared" si="1"/>
        <v>0</v>
      </c>
      <c r="I15" s="249"/>
      <c r="J15" s="249"/>
      <c r="K15" s="437">
        <f t="shared" si="2"/>
        <v>0</v>
      </c>
      <c r="L15" s="249"/>
      <c r="M15" s="249"/>
      <c r="N15" s="250">
        <f t="shared" si="3"/>
        <v>0</v>
      </c>
      <c r="O15" s="249"/>
      <c r="P15" s="249"/>
      <c r="Q15" s="250">
        <f t="shared" si="4"/>
        <v>0</v>
      </c>
      <c r="R15" s="249"/>
      <c r="S15" s="249"/>
      <c r="T15" s="250">
        <f t="shared" si="5"/>
        <v>0</v>
      </c>
      <c r="U15" s="249"/>
      <c r="V15" s="249"/>
      <c r="W15" s="250">
        <f t="shared" si="6"/>
        <v>0</v>
      </c>
      <c r="X15" s="249"/>
      <c r="Y15" s="249"/>
      <c r="Z15" s="250">
        <f t="shared" si="7"/>
        <v>0</v>
      </c>
      <c r="AA15" s="249"/>
      <c r="AB15" s="249"/>
      <c r="AC15" s="250">
        <f t="shared" si="8"/>
        <v>0</v>
      </c>
      <c r="AD15" s="249"/>
      <c r="AE15" s="249"/>
      <c r="AF15" s="250">
        <f t="shared" si="9"/>
        <v>0</v>
      </c>
      <c r="AG15" s="249"/>
      <c r="AH15" s="249"/>
      <c r="AI15" s="250">
        <f t="shared" si="10"/>
        <v>0</v>
      </c>
      <c r="AJ15" s="249"/>
      <c r="AK15" s="249"/>
      <c r="AL15" s="250">
        <f t="shared" si="11"/>
        <v>0</v>
      </c>
      <c r="AM15" s="249"/>
      <c r="AN15" s="249"/>
      <c r="AO15" s="250">
        <f t="shared" si="12"/>
        <v>0</v>
      </c>
      <c r="AP15" s="249"/>
      <c r="AQ15" s="249"/>
      <c r="AR15" s="250">
        <f t="shared" si="13"/>
        <v>0</v>
      </c>
      <c r="AS15" s="249"/>
      <c r="AT15" s="249"/>
      <c r="AU15" s="250">
        <f t="shared" si="14"/>
        <v>0</v>
      </c>
      <c r="AV15" s="249"/>
      <c r="AW15" s="249"/>
      <c r="AX15" s="250">
        <f t="shared" si="15"/>
        <v>0</v>
      </c>
      <c r="AY15" s="249"/>
      <c r="AZ15" s="249"/>
      <c r="BA15" s="250">
        <f t="shared" si="16"/>
        <v>0</v>
      </c>
      <c r="BB15" s="249"/>
      <c r="BC15" s="249"/>
      <c r="BD15" s="250">
        <f t="shared" si="17"/>
        <v>0</v>
      </c>
    </row>
    <row r="16" spans="1:56">
      <c r="A16" s="251"/>
      <c r="B16" s="259" t="s">
        <v>326</v>
      </c>
      <c r="C16" s="249">
        <v>2700</v>
      </c>
      <c r="D16" s="249">
        <v>2700</v>
      </c>
      <c r="E16" s="508">
        <f t="shared" si="0"/>
        <v>0</v>
      </c>
      <c r="F16" s="249">
        <v>4875</v>
      </c>
      <c r="G16" s="249">
        <v>4875</v>
      </c>
      <c r="H16" s="437">
        <f t="shared" si="1"/>
        <v>0</v>
      </c>
      <c r="I16" s="249"/>
      <c r="J16" s="249"/>
      <c r="K16" s="437">
        <f t="shared" si="2"/>
        <v>0</v>
      </c>
      <c r="L16" s="249"/>
      <c r="M16" s="249"/>
      <c r="N16" s="250">
        <f t="shared" si="3"/>
        <v>0</v>
      </c>
      <c r="O16" s="249"/>
      <c r="P16" s="249"/>
      <c r="Q16" s="250">
        <f t="shared" si="4"/>
        <v>0</v>
      </c>
      <c r="R16" s="249"/>
      <c r="S16" s="249"/>
      <c r="T16" s="250">
        <f t="shared" si="5"/>
        <v>0</v>
      </c>
      <c r="U16" s="249"/>
      <c r="V16" s="249"/>
      <c r="W16" s="250">
        <f t="shared" si="6"/>
        <v>0</v>
      </c>
      <c r="X16" s="249"/>
      <c r="Y16" s="249"/>
      <c r="Z16" s="250">
        <f t="shared" si="7"/>
        <v>0</v>
      </c>
      <c r="AA16" s="249"/>
      <c r="AB16" s="249"/>
      <c r="AC16" s="250">
        <f t="shared" si="8"/>
        <v>0</v>
      </c>
      <c r="AD16" s="249"/>
      <c r="AE16" s="249"/>
      <c r="AF16" s="250">
        <f t="shared" si="9"/>
        <v>0</v>
      </c>
      <c r="AG16" s="249"/>
      <c r="AH16" s="249"/>
      <c r="AI16" s="250">
        <f t="shared" si="10"/>
        <v>0</v>
      </c>
      <c r="AJ16" s="249"/>
      <c r="AK16" s="249"/>
      <c r="AL16" s="250">
        <f t="shared" si="11"/>
        <v>0</v>
      </c>
      <c r="AM16" s="249"/>
      <c r="AN16" s="249"/>
      <c r="AO16" s="250">
        <f t="shared" si="12"/>
        <v>0</v>
      </c>
      <c r="AP16" s="249"/>
      <c r="AQ16" s="249"/>
      <c r="AR16" s="250">
        <f t="shared" si="13"/>
        <v>0</v>
      </c>
      <c r="AS16" s="249"/>
      <c r="AT16" s="249"/>
      <c r="AU16" s="250">
        <f t="shared" si="14"/>
        <v>0</v>
      </c>
      <c r="AV16" s="249"/>
      <c r="AW16" s="249"/>
      <c r="AX16" s="250">
        <f t="shared" si="15"/>
        <v>0</v>
      </c>
      <c r="AY16" s="249"/>
      <c r="AZ16" s="249"/>
      <c r="BA16" s="250">
        <f t="shared" si="16"/>
        <v>0</v>
      </c>
      <c r="BB16" s="249"/>
      <c r="BC16" s="249"/>
      <c r="BD16" s="250">
        <f t="shared" si="17"/>
        <v>0</v>
      </c>
    </row>
    <row r="17" spans="1:56">
      <c r="A17" s="251"/>
      <c r="B17" s="259" t="s">
        <v>327</v>
      </c>
      <c r="C17" s="249"/>
      <c r="D17" s="249"/>
      <c r="E17" s="508"/>
      <c r="F17" s="249"/>
      <c r="G17" s="249"/>
      <c r="H17" s="437">
        <f t="shared" si="1"/>
        <v>0</v>
      </c>
      <c r="I17" s="249"/>
      <c r="J17" s="249"/>
      <c r="K17" s="437">
        <f t="shared" si="2"/>
        <v>0</v>
      </c>
      <c r="L17" s="249"/>
      <c r="M17" s="249"/>
      <c r="N17" s="250">
        <f t="shared" si="3"/>
        <v>0</v>
      </c>
      <c r="O17" s="249"/>
      <c r="P17" s="249"/>
      <c r="Q17" s="250">
        <f t="shared" si="4"/>
        <v>0</v>
      </c>
      <c r="R17" s="249"/>
      <c r="S17" s="249"/>
      <c r="T17" s="250">
        <f t="shared" si="5"/>
        <v>0</v>
      </c>
      <c r="U17" s="249"/>
      <c r="V17" s="249"/>
      <c r="W17" s="250">
        <f t="shared" si="6"/>
        <v>0</v>
      </c>
      <c r="X17" s="249"/>
      <c r="Y17" s="249"/>
      <c r="Z17" s="250">
        <f t="shared" si="7"/>
        <v>0</v>
      </c>
      <c r="AA17" s="249"/>
      <c r="AB17" s="249"/>
      <c r="AC17" s="250">
        <f t="shared" si="8"/>
        <v>0</v>
      </c>
      <c r="AD17" s="249"/>
      <c r="AE17" s="249"/>
      <c r="AF17" s="250">
        <f t="shared" si="9"/>
        <v>0</v>
      </c>
      <c r="AG17" s="249"/>
      <c r="AH17" s="249"/>
      <c r="AI17" s="250">
        <f t="shared" si="10"/>
        <v>0</v>
      </c>
      <c r="AJ17" s="249"/>
      <c r="AK17" s="249"/>
      <c r="AL17" s="250">
        <f t="shared" si="11"/>
        <v>0</v>
      </c>
      <c r="AM17" s="249"/>
      <c r="AN17" s="249"/>
      <c r="AO17" s="250">
        <f t="shared" si="12"/>
        <v>0</v>
      </c>
      <c r="AP17" s="249"/>
      <c r="AQ17" s="249"/>
      <c r="AR17" s="250">
        <f t="shared" si="13"/>
        <v>0</v>
      </c>
      <c r="AS17" s="249"/>
      <c r="AT17" s="249"/>
      <c r="AU17" s="250">
        <f t="shared" si="14"/>
        <v>0</v>
      </c>
      <c r="AV17" s="249"/>
      <c r="AW17" s="249"/>
      <c r="AX17" s="250">
        <f t="shared" si="15"/>
        <v>0</v>
      </c>
      <c r="AY17" s="249"/>
      <c r="AZ17" s="249"/>
      <c r="BA17" s="250">
        <f t="shared" si="16"/>
        <v>0</v>
      </c>
      <c r="BB17" s="249"/>
      <c r="BC17" s="249"/>
      <c r="BD17" s="250">
        <f t="shared" si="17"/>
        <v>0</v>
      </c>
    </row>
    <row r="18" spans="1:56" s="255" customFormat="1" ht="20.25" customHeight="1">
      <c r="A18" s="252"/>
      <c r="B18" s="427" t="s">
        <v>315</v>
      </c>
      <c r="C18" s="425">
        <v>2700</v>
      </c>
      <c r="D18" s="425">
        <v>2700</v>
      </c>
      <c r="E18" s="509">
        <f>IF(C18&gt;0,(((D18-C18)/C18)*100),0)</f>
        <v>0</v>
      </c>
      <c r="F18" s="425">
        <v>4830</v>
      </c>
      <c r="G18" s="425">
        <v>4830</v>
      </c>
      <c r="H18" s="438">
        <f t="shared" si="1"/>
        <v>0</v>
      </c>
      <c r="I18" s="425"/>
      <c r="J18" s="425"/>
      <c r="K18" s="438">
        <f t="shared" si="2"/>
        <v>0</v>
      </c>
      <c r="L18" s="425"/>
      <c r="M18" s="425"/>
      <c r="N18" s="421">
        <f t="shared" si="3"/>
        <v>0</v>
      </c>
      <c r="O18" s="425"/>
      <c r="P18" s="425"/>
      <c r="Q18" s="421">
        <f t="shared" si="4"/>
        <v>0</v>
      </c>
      <c r="R18" s="425"/>
      <c r="S18" s="425"/>
      <c r="T18" s="421">
        <f t="shared" si="5"/>
        <v>0</v>
      </c>
      <c r="U18" s="425"/>
      <c r="V18" s="425"/>
      <c r="W18" s="421">
        <f t="shared" si="6"/>
        <v>0</v>
      </c>
      <c r="X18" s="425"/>
      <c r="Y18" s="425"/>
      <c r="Z18" s="421">
        <f t="shared" si="7"/>
        <v>0</v>
      </c>
      <c r="AA18" s="425"/>
      <c r="AB18" s="425"/>
      <c r="AC18" s="421">
        <f t="shared" si="8"/>
        <v>0</v>
      </c>
      <c r="AD18" s="425"/>
      <c r="AE18" s="425"/>
      <c r="AF18" s="421">
        <f t="shared" si="9"/>
        <v>0</v>
      </c>
      <c r="AG18" s="425"/>
      <c r="AH18" s="425"/>
      <c r="AI18" s="421">
        <f t="shared" si="10"/>
        <v>0</v>
      </c>
      <c r="AJ18" s="425"/>
      <c r="AK18" s="425"/>
      <c r="AL18" s="421">
        <f t="shared" si="11"/>
        <v>0</v>
      </c>
      <c r="AM18" s="425"/>
      <c r="AN18" s="425"/>
      <c r="AO18" s="421">
        <f t="shared" si="12"/>
        <v>0</v>
      </c>
      <c r="AP18" s="425"/>
      <c r="AQ18" s="425"/>
      <c r="AR18" s="421">
        <f t="shared" si="13"/>
        <v>0</v>
      </c>
      <c r="AS18" s="425"/>
      <c r="AT18" s="425"/>
      <c r="AU18" s="421">
        <f t="shared" si="14"/>
        <v>0</v>
      </c>
      <c r="AV18" s="425"/>
      <c r="AW18" s="425"/>
      <c r="AX18" s="421">
        <f t="shared" si="15"/>
        <v>0</v>
      </c>
      <c r="AY18" s="425"/>
      <c r="AZ18" s="425"/>
      <c r="BA18" s="421">
        <f t="shared" si="16"/>
        <v>0</v>
      </c>
      <c r="BB18" s="425"/>
      <c r="BC18" s="425"/>
      <c r="BD18" s="421">
        <f t="shared" si="17"/>
        <v>0</v>
      </c>
    </row>
    <row r="19" spans="1:56">
      <c r="A19" s="256"/>
      <c r="B19" s="428" t="s">
        <v>198</v>
      </c>
      <c r="C19" s="257"/>
      <c r="D19" s="257"/>
      <c r="E19" s="510"/>
      <c r="F19" s="257"/>
      <c r="G19" s="257"/>
      <c r="H19" s="439"/>
      <c r="I19" s="257"/>
      <c r="J19" s="257"/>
      <c r="K19" s="439"/>
      <c r="L19" s="257"/>
      <c r="M19" s="257"/>
      <c r="N19" s="258"/>
      <c r="O19" s="257">
        <v>12564</v>
      </c>
      <c r="P19" s="257">
        <v>14450</v>
      </c>
      <c r="Q19" s="258">
        <f t="shared" si="4"/>
        <v>15.011142948105698</v>
      </c>
      <c r="R19" s="257">
        <v>24158</v>
      </c>
      <c r="S19" s="257">
        <v>26560</v>
      </c>
      <c r="T19" s="258">
        <f t="shared" si="5"/>
        <v>9.9428760658994939</v>
      </c>
      <c r="U19" s="257">
        <v>17103</v>
      </c>
      <c r="V19" s="257">
        <v>18512</v>
      </c>
      <c r="W19" s="258">
        <f t="shared" si="6"/>
        <v>8.2383207624393382</v>
      </c>
      <c r="X19" s="257">
        <v>47239</v>
      </c>
      <c r="Y19" s="257">
        <v>51394</v>
      </c>
      <c r="Z19" s="258">
        <f t="shared" si="7"/>
        <v>8.7956984694849591</v>
      </c>
      <c r="AA19" s="257">
        <v>15388</v>
      </c>
      <c r="AB19" s="257">
        <v>17452</v>
      </c>
      <c r="AC19" s="258">
        <f t="shared" si="8"/>
        <v>13.413049129191579</v>
      </c>
      <c r="AD19" s="257">
        <v>41940</v>
      </c>
      <c r="AE19" s="257">
        <v>47988</v>
      </c>
      <c r="AF19" s="258">
        <f t="shared" si="9"/>
        <v>14.420600858369099</v>
      </c>
      <c r="AG19" s="257">
        <v>14826</v>
      </c>
      <c r="AH19" s="257">
        <v>15298</v>
      </c>
      <c r="AI19" s="258">
        <f t="shared" si="10"/>
        <v>3.1835963847295292</v>
      </c>
      <c r="AJ19" s="257">
        <v>26586</v>
      </c>
      <c r="AK19" s="257">
        <v>27778</v>
      </c>
      <c r="AL19" s="258">
        <f t="shared" si="11"/>
        <v>4.48356277740164</v>
      </c>
      <c r="AM19" s="257">
        <v>16629</v>
      </c>
      <c r="AN19" s="257">
        <v>17787</v>
      </c>
      <c r="AO19" s="258">
        <f t="shared" si="12"/>
        <v>6.9637380479884534</v>
      </c>
      <c r="AP19" s="257">
        <v>43311</v>
      </c>
      <c r="AQ19" s="257">
        <v>46605</v>
      </c>
      <c r="AR19" s="258">
        <f t="shared" si="13"/>
        <v>7.6054581976865006</v>
      </c>
      <c r="AS19" s="257"/>
      <c r="AT19" s="257"/>
      <c r="AU19" s="258">
        <f t="shared" si="14"/>
        <v>0</v>
      </c>
      <c r="AV19" s="257"/>
      <c r="AW19" s="257"/>
      <c r="AX19" s="258">
        <f t="shared" si="15"/>
        <v>0</v>
      </c>
      <c r="AY19" s="257">
        <v>11620</v>
      </c>
      <c r="AZ19" s="257">
        <v>12412</v>
      </c>
      <c r="BA19" s="258">
        <f t="shared" si="16"/>
        <v>6.8158347676419968</v>
      </c>
      <c r="BB19" s="257">
        <v>34100</v>
      </c>
      <c r="BC19" s="257">
        <v>36252</v>
      </c>
      <c r="BD19" s="258">
        <f t="shared" si="17"/>
        <v>6.3108504398826977</v>
      </c>
    </row>
    <row r="20" spans="1:56">
      <c r="A20" s="247" t="s">
        <v>637</v>
      </c>
      <c r="B20" s="259" t="s">
        <v>384</v>
      </c>
      <c r="C20" s="249">
        <v>6399</v>
      </c>
      <c r="D20" s="249">
        <v>6459</v>
      </c>
      <c r="E20" s="508">
        <f t="shared" ref="E20:E33" si="18">IF(C20&gt;0,(((D20-C20)/C20)*100),0)</f>
        <v>0.93764650726676046</v>
      </c>
      <c r="F20" s="249">
        <v>15276</v>
      </c>
      <c r="G20" s="249">
        <v>15336</v>
      </c>
      <c r="H20" s="437">
        <f t="shared" ref="H20:H35" si="19">IF(F20&gt;0,(((G20-F20)/F20)*100),0)</f>
        <v>0.39277297721916732</v>
      </c>
      <c r="I20" s="249">
        <v>8141</v>
      </c>
      <c r="J20" s="249">
        <v>8189</v>
      </c>
      <c r="K20" s="437">
        <f t="shared" ref="K20:K35" si="20">IF(I20&gt;0,(((J20-I20)/I20)*100),0)</f>
        <v>0.58960815624616136</v>
      </c>
      <c r="L20" s="249">
        <v>17800</v>
      </c>
      <c r="M20" s="249">
        <v>17848</v>
      </c>
      <c r="N20" s="250">
        <f t="shared" ref="N20:N35" si="21">IF(L20&gt;0,(((M20-L20)/L20)*100),0)</f>
        <v>0.2696629213483146</v>
      </c>
      <c r="O20" s="249"/>
      <c r="P20" s="249"/>
      <c r="Q20" s="250">
        <f t="shared" ref="Q20:Q83" si="22">IF(O20&gt;0,(((P20-O20)/O20)*100),0)</f>
        <v>0</v>
      </c>
      <c r="R20" s="249"/>
      <c r="S20" s="249"/>
      <c r="T20" s="250">
        <f t="shared" ref="T20:T83" si="23">IF(R20&gt;0,(((S20-R20)/R20)*100),0)</f>
        <v>0</v>
      </c>
      <c r="U20" s="249"/>
      <c r="V20" s="249"/>
      <c r="W20" s="250">
        <f t="shared" ref="W20:W83" si="24">IF(U20&gt;0,(((V20-U20)/U20)*100),0)</f>
        <v>0</v>
      </c>
      <c r="X20" s="249"/>
      <c r="Y20" s="249"/>
      <c r="Z20" s="250">
        <f t="shared" ref="Z20:Z83" si="25">IF(X20&gt;0,(((Y20-X20)/X20)*100),0)</f>
        <v>0</v>
      </c>
      <c r="AA20" s="249"/>
      <c r="AB20" s="249"/>
      <c r="AC20" s="250">
        <f t="shared" ref="AC20:AC83" si="26">IF(AA20&gt;0,(((AB20-AA20)/AA20)*100),0)</f>
        <v>0</v>
      </c>
      <c r="AD20" s="249"/>
      <c r="AE20" s="249"/>
      <c r="AF20" s="250">
        <f t="shared" ref="AF20:AF83" si="27">IF(AD20&gt;0,(((AE20-AD20)/AD20)*100),0)</f>
        <v>0</v>
      </c>
      <c r="AG20" s="249"/>
      <c r="AH20" s="249"/>
      <c r="AI20" s="250">
        <f t="shared" ref="AI20:AI83" si="28">IF(AG20&gt;0,(((AH20-AG20)/AG20)*100),0)</f>
        <v>0</v>
      </c>
      <c r="AJ20" s="249"/>
      <c r="AK20" s="249"/>
      <c r="AL20" s="250">
        <f t="shared" ref="AL20:AL83" si="29">IF(AJ20&gt;0,(((AK20-AJ20)/AJ20)*100),0)</f>
        <v>0</v>
      </c>
      <c r="AM20" s="249"/>
      <c r="AN20" s="249"/>
      <c r="AO20" s="250">
        <f t="shared" ref="AO20:AO83" si="30">IF(AM20&gt;0,(((AN20-AM20)/AM20)*100),0)</f>
        <v>0</v>
      </c>
      <c r="AP20" s="249"/>
      <c r="AQ20" s="249"/>
      <c r="AR20" s="250">
        <f t="shared" ref="AR20:AR83" si="31">IF(AP20&gt;0,(((AQ20-AP20)/AP20)*100),0)</f>
        <v>0</v>
      </c>
      <c r="AS20" s="249"/>
      <c r="AT20" s="249"/>
      <c r="AU20" s="250">
        <f t="shared" ref="AU20:AU83" si="32">IF(AS20&gt;0,(((AT20-AS20)/AS20)*100),0)</f>
        <v>0</v>
      </c>
      <c r="AV20" s="249"/>
      <c r="AW20" s="249"/>
      <c r="AX20" s="250">
        <f t="shared" ref="AX20:AX83" si="33">IF(AV20&gt;0,(((AW20-AV20)/AV20)*100),0)</f>
        <v>0</v>
      </c>
      <c r="AY20" s="249"/>
      <c r="AZ20" s="249"/>
      <c r="BA20" s="250">
        <f t="shared" ref="BA20:BA83" si="34">IF(AY20&gt;0,(((AZ20-AY20)/AY20)*100),0)</f>
        <v>0</v>
      </c>
      <c r="BB20" s="249"/>
      <c r="BC20" s="249"/>
      <c r="BD20" s="250">
        <f t="shared" ref="BD20:BD83" si="35">IF(BB20&gt;0,(((BC20-BB20)/BB20)*100),0)</f>
        <v>0</v>
      </c>
    </row>
    <row r="21" spans="1:56">
      <c r="A21" s="251"/>
      <c r="B21" s="259" t="s">
        <v>385</v>
      </c>
      <c r="C21" s="249"/>
      <c r="D21" s="249"/>
      <c r="E21" s="508">
        <f t="shared" si="18"/>
        <v>0</v>
      </c>
      <c r="F21" s="249"/>
      <c r="G21" s="249"/>
      <c r="H21" s="437">
        <f t="shared" si="19"/>
        <v>0</v>
      </c>
      <c r="I21" s="249"/>
      <c r="J21" s="249"/>
      <c r="K21" s="437">
        <f t="shared" si="20"/>
        <v>0</v>
      </c>
      <c r="L21" s="249"/>
      <c r="M21" s="249"/>
      <c r="N21" s="250">
        <f t="shared" si="21"/>
        <v>0</v>
      </c>
      <c r="O21" s="249"/>
      <c r="P21" s="249"/>
      <c r="Q21" s="250">
        <f t="shared" si="22"/>
        <v>0</v>
      </c>
      <c r="R21" s="249"/>
      <c r="S21" s="249"/>
      <c r="T21" s="250">
        <f t="shared" si="23"/>
        <v>0</v>
      </c>
      <c r="U21" s="249"/>
      <c r="V21" s="249"/>
      <c r="W21" s="250">
        <f t="shared" si="24"/>
        <v>0</v>
      </c>
      <c r="X21" s="249"/>
      <c r="Y21" s="249"/>
      <c r="Z21" s="250">
        <f t="shared" si="25"/>
        <v>0</v>
      </c>
      <c r="AA21" s="249"/>
      <c r="AB21" s="249"/>
      <c r="AC21" s="250">
        <f t="shared" si="26"/>
        <v>0</v>
      </c>
      <c r="AD21" s="249"/>
      <c r="AE21" s="249"/>
      <c r="AF21" s="250">
        <f t="shared" si="27"/>
        <v>0</v>
      </c>
      <c r="AG21" s="249"/>
      <c r="AH21" s="249"/>
      <c r="AI21" s="250">
        <f t="shared" si="28"/>
        <v>0</v>
      </c>
      <c r="AJ21" s="249"/>
      <c r="AK21" s="249"/>
      <c r="AL21" s="250">
        <f t="shared" si="29"/>
        <v>0</v>
      </c>
      <c r="AM21" s="249"/>
      <c r="AN21" s="249"/>
      <c r="AO21" s="250">
        <f t="shared" si="30"/>
        <v>0</v>
      </c>
      <c r="AP21" s="249"/>
      <c r="AQ21" s="249"/>
      <c r="AR21" s="250">
        <f t="shared" si="31"/>
        <v>0</v>
      </c>
      <c r="AS21" s="249"/>
      <c r="AT21" s="249"/>
      <c r="AU21" s="250">
        <f t="shared" si="32"/>
        <v>0</v>
      </c>
      <c r="AV21" s="249"/>
      <c r="AW21" s="249"/>
      <c r="AX21" s="250">
        <f t="shared" si="33"/>
        <v>0</v>
      </c>
      <c r="AY21" s="249"/>
      <c r="AZ21" s="249"/>
      <c r="BA21" s="250">
        <f t="shared" si="34"/>
        <v>0</v>
      </c>
      <c r="BB21" s="249"/>
      <c r="BC21" s="249"/>
      <c r="BD21" s="250">
        <f t="shared" si="35"/>
        <v>0</v>
      </c>
    </row>
    <row r="22" spans="1:56">
      <c r="A22" s="251"/>
      <c r="B22" s="259" t="s">
        <v>386</v>
      </c>
      <c r="C22" s="249">
        <v>6370</v>
      </c>
      <c r="D22" s="249">
        <v>6370</v>
      </c>
      <c r="E22" s="508">
        <f t="shared" si="18"/>
        <v>0</v>
      </c>
      <c r="F22" s="249">
        <v>14290</v>
      </c>
      <c r="G22" s="249">
        <v>14290</v>
      </c>
      <c r="H22" s="437">
        <f t="shared" si="19"/>
        <v>0</v>
      </c>
      <c r="I22" s="249">
        <v>6190</v>
      </c>
      <c r="J22" s="249">
        <v>6361</v>
      </c>
      <c r="K22" s="437">
        <f t="shared" si="20"/>
        <v>2.7625201938610662</v>
      </c>
      <c r="L22" s="249">
        <v>13296</v>
      </c>
      <c r="M22" s="249">
        <v>13759</v>
      </c>
      <c r="N22" s="250">
        <f t="shared" si="21"/>
        <v>3.4822503008423586</v>
      </c>
      <c r="O22" s="249"/>
      <c r="P22" s="249"/>
      <c r="Q22" s="250">
        <f t="shared" si="22"/>
        <v>0</v>
      </c>
      <c r="R22" s="249"/>
      <c r="S22" s="249"/>
      <c r="T22" s="250">
        <f t="shared" si="23"/>
        <v>0</v>
      </c>
      <c r="U22" s="249"/>
      <c r="V22" s="249"/>
      <c r="W22" s="250">
        <f t="shared" si="24"/>
        <v>0</v>
      </c>
      <c r="X22" s="249"/>
      <c r="Y22" s="249"/>
      <c r="Z22" s="250">
        <f t="shared" si="25"/>
        <v>0</v>
      </c>
      <c r="AA22" s="249"/>
      <c r="AB22" s="249"/>
      <c r="AC22" s="250">
        <f t="shared" si="26"/>
        <v>0</v>
      </c>
      <c r="AD22" s="249"/>
      <c r="AE22" s="249"/>
      <c r="AF22" s="250">
        <f t="shared" si="27"/>
        <v>0</v>
      </c>
      <c r="AG22" s="249"/>
      <c r="AH22" s="249"/>
      <c r="AI22" s="250">
        <f t="shared" si="28"/>
        <v>0</v>
      </c>
      <c r="AJ22" s="249"/>
      <c r="AK22" s="249"/>
      <c r="AL22" s="250">
        <f t="shared" si="29"/>
        <v>0</v>
      </c>
      <c r="AM22" s="249"/>
      <c r="AN22" s="249"/>
      <c r="AO22" s="250">
        <f t="shared" si="30"/>
        <v>0</v>
      </c>
      <c r="AP22" s="249"/>
      <c r="AQ22" s="249"/>
      <c r="AR22" s="250">
        <f t="shared" si="31"/>
        <v>0</v>
      </c>
      <c r="AS22" s="249"/>
      <c r="AT22" s="249"/>
      <c r="AU22" s="250">
        <f t="shared" si="32"/>
        <v>0</v>
      </c>
      <c r="AV22" s="249"/>
      <c r="AW22" s="249"/>
      <c r="AX22" s="250">
        <f t="shared" si="33"/>
        <v>0</v>
      </c>
      <c r="AY22" s="249"/>
      <c r="AZ22" s="249"/>
      <c r="BA22" s="250">
        <f t="shared" si="34"/>
        <v>0</v>
      </c>
      <c r="BB22" s="249"/>
      <c r="BC22" s="249"/>
      <c r="BD22" s="250">
        <f t="shared" si="35"/>
        <v>0</v>
      </c>
    </row>
    <row r="23" spans="1:56">
      <c r="A23" s="251"/>
      <c r="B23" s="259" t="s">
        <v>387</v>
      </c>
      <c r="C23" s="249">
        <v>5727</v>
      </c>
      <c r="D23" s="249">
        <v>5907</v>
      </c>
      <c r="E23" s="508">
        <f t="shared" si="18"/>
        <v>3.1430068098480883</v>
      </c>
      <c r="F23" s="249">
        <v>10602</v>
      </c>
      <c r="G23" s="249">
        <v>10962</v>
      </c>
      <c r="H23" s="437">
        <f t="shared" si="19"/>
        <v>3.3955857385398982</v>
      </c>
      <c r="I23" s="249">
        <v>5425.5</v>
      </c>
      <c r="J23" s="249">
        <v>5593.5</v>
      </c>
      <c r="K23" s="437">
        <f t="shared" si="20"/>
        <v>3.096488802875311</v>
      </c>
      <c r="L23" s="249">
        <v>10081.5</v>
      </c>
      <c r="M23" s="249">
        <v>10417.5</v>
      </c>
      <c r="N23" s="250">
        <f t="shared" si="21"/>
        <v>3.3328373753905667</v>
      </c>
      <c r="O23" s="249"/>
      <c r="P23" s="249"/>
      <c r="Q23" s="250">
        <f t="shared" si="22"/>
        <v>0</v>
      </c>
      <c r="R23" s="249"/>
      <c r="S23" s="249"/>
      <c r="T23" s="250">
        <f t="shared" si="23"/>
        <v>0</v>
      </c>
      <c r="U23" s="249"/>
      <c r="V23" s="249"/>
      <c r="W23" s="250">
        <f t="shared" si="24"/>
        <v>0</v>
      </c>
      <c r="X23" s="249"/>
      <c r="Y23" s="249"/>
      <c r="Z23" s="250">
        <f t="shared" si="25"/>
        <v>0</v>
      </c>
      <c r="AA23" s="249"/>
      <c r="AB23" s="249"/>
      <c r="AC23" s="250">
        <f t="shared" si="26"/>
        <v>0</v>
      </c>
      <c r="AD23" s="249"/>
      <c r="AE23" s="249"/>
      <c r="AF23" s="250">
        <f t="shared" si="27"/>
        <v>0</v>
      </c>
      <c r="AG23" s="249"/>
      <c r="AH23" s="249"/>
      <c r="AI23" s="250">
        <f t="shared" si="28"/>
        <v>0</v>
      </c>
      <c r="AJ23" s="249"/>
      <c r="AK23" s="249"/>
      <c r="AL23" s="250">
        <f t="shared" si="29"/>
        <v>0</v>
      </c>
      <c r="AM23" s="249"/>
      <c r="AN23" s="249"/>
      <c r="AO23" s="250">
        <f t="shared" si="30"/>
        <v>0</v>
      </c>
      <c r="AP23" s="249"/>
      <c r="AQ23" s="249"/>
      <c r="AR23" s="250">
        <f t="shared" si="31"/>
        <v>0</v>
      </c>
      <c r="AS23" s="249"/>
      <c r="AT23" s="249"/>
      <c r="AU23" s="250">
        <f t="shared" si="32"/>
        <v>0</v>
      </c>
      <c r="AV23" s="249"/>
      <c r="AW23" s="249"/>
      <c r="AX23" s="250">
        <f t="shared" si="33"/>
        <v>0</v>
      </c>
      <c r="AY23" s="249"/>
      <c r="AZ23" s="249"/>
      <c r="BA23" s="250">
        <f t="shared" si="34"/>
        <v>0</v>
      </c>
      <c r="BB23" s="249"/>
      <c r="BC23" s="249"/>
      <c r="BD23" s="250">
        <f t="shared" si="35"/>
        <v>0</v>
      </c>
    </row>
    <row r="24" spans="1:56">
      <c r="A24" s="251"/>
      <c r="B24" s="259" t="s">
        <v>388</v>
      </c>
      <c r="C24" s="249">
        <v>5123</v>
      </c>
      <c r="D24" s="249">
        <v>5408</v>
      </c>
      <c r="E24" s="508">
        <f t="shared" si="18"/>
        <v>5.5631465937927</v>
      </c>
      <c r="F24" s="249">
        <v>8438</v>
      </c>
      <c r="G24" s="249">
        <v>8858</v>
      </c>
      <c r="H24" s="437">
        <f t="shared" si="19"/>
        <v>4.9774828158331355</v>
      </c>
      <c r="I24" s="249">
        <v>5161</v>
      </c>
      <c r="J24" s="249">
        <v>5485</v>
      </c>
      <c r="K24" s="437">
        <f t="shared" si="20"/>
        <v>6.2778531292385198</v>
      </c>
      <c r="L24" s="249">
        <v>8665</v>
      </c>
      <c r="M24" s="249">
        <v>9169</v>
      </c>
      <c r="N24" s="250">
        <f t="shared" si="21"/>
        <v>5.8165031736872477</v>
      </c>
      <c r="O24" s="249"/>
      <c r="P24" s="249"/>
      <c r="Q24" s="250">
        <f t="shared" si="22"/>
        <v>0</v>
      </c>
      <c r="R24" s="249"/>
      <c r="S24" s="249"/>
      <c r="T24" s="250">
        <f t="shared" si="23"/>
        <v>0</v>
      </c>
      <c r="U24" s="249"/>
      <c r="V24" s="249"/>
      <c r="W24" s="250">
        <f t="shared" si="24"/>
        <v>0</v>
      </c>
      <c r="X24" s="249"/>
      <c r="Y24" s="249"/>
      <c r="Z24" s="250">
        <f t="shared" si="25"/>
        <v>0</v>
      </c>
      <c r="AA24" s="249"/>
      <c r="AB24" s="249"/>
      <c r="AC24" s="250">
        <f t="shared" si="26"/>
        <v>0</v>
      </c>
      <c r="AD24" s="249"/>
      <c r="AE24" s="249"/>
      <c r="AF24" s="250">
        <f t="shared" si="27"/>
        <v>0</v>
      </c>
      <c r="AG24" s="249"/>
      <c r="AH24" s="249"/>
      <c r="AI24" s="250">
        <f t="shared" si="28"/>
        <v>0</v>
      </c>
      <c r="AJ24" s="249"/>
      <c r="AK24" s="249"/>
      <c r="AL24" s="250">
        <f t="shared" si="29"/>
        <v>0</v>
      </c>
      <c r="AM24" s="249"/>
      <c r="AN24" s="249"/>
      <c r="AO24" s="250">
        <f t="shared" si="30"/>
        <v>0</v>
      </c>
      <c r="AP24" s="249"/>
      <c r="AQ24" s="249"/>
      <c r="AR24" s="250">
        <f t="shared" si="31"/>
        <v>0</v>
      </c>
      <c r="AS24" s="249"/>
      <c r="AT24" s="249"/>
      <c r="AU24" s="250">
        <f t="shared" si="32"/>
        <v>0</v>
      </c>
      <c r="AV24" s="249"/>
      <c r="AW24" s="249"/>
      <c r="AX24" s="250">
        <f t="shared" si="33"/>
        <v>0</v>
      </c>
      <c r="AY24" s="249"/>
      <c r="AZ24" s="249"/>
      <c r="BA24" s="250">
        <f t="shared" si="34"/>
        <v>0</v>
      </c>
      <c r="BB24" s="249"/>
      <c r="BC24" s="249"/>
      <c r="BD24" s="250">
        <f t="shared" si="35"/>
        <v>0</v>
      </c>
    </row>
    <row r="25" spans="1:56">
      <c r="A25" s="251"/>
      <c r="B25" s="259" t="s">
        <v>389</v>
      </c>
      <c r="C25" s="249">
        <v>4543</v>
      </c>
      <c r="D25" s="249">
        <v>4698</v>
      </c>
      <c r="E25" s="508">
        <f t="shared" si="18"/>
        <v>3.4118423948932421</v>
      </c>
      <c r="F25" s="249">
        <v>9418</v>
      </c>
      <c r="G25" s="249">
        <v>9738</v>
      </c>
      <c r="H25" s="437">
        <f t="shared" si="19"/>
        <v>3.3977489912932679</v>
      </c>
      <c r="I25" s="249">
        <v>4544</v>
      </c>
      <c r="J25" s="249">
        <v>4664</v>
      </c>
      <c r="K25" s="437">
        <f t="shared" si="20"/>
        <v>2.640845070422535</v>
      </c>
      <c r="L25" s="249">
        <v>9176</v>
      </c>
      <c r="M25" s="249">
        <v>9416</v>
      </c>
      <c r="N25" s="250">
        <f t="shared" si="21"/>
        <v>2.6155187445510024</v>
      </c>
      <c r="O25" s="249"/>
      <c r="P25" s="249"/>
      <c r="Q25" s="250">
        <f t="shared" si="22"/>
        <v>0</v>
      </c>
      <c r="R25" s="249"/>
      <c r="S25" s="249"/>
      <c r="T25" s="250">
        <f t="shared" si="23"/>
        <v>0</v>
      </c>
      <c r="U25" s="249"/>
      <c r="V25" s="249"/>
      <c r="W25" s="250">
        <f t="shared" si="24"/>
        <v>0</v>
      </c>
      <c r="X25" s="249"/>
      <c r="Y25" s="249"/>
      <c r="Z25" s="250">
        <f t="shared" si="25"/>
        <v>0</v>
      </c>
      <c r="AA25" s="249"/>
      <c r="AB25" s="249"/>
      <c r="AC25" s="250">
        <f t="shared" si="26"/>
        <v>0</v>
      </c>
      <c r="AD25" s="249"/>
      <c r="AE25" s="249"/>
      <c r="AF25" s="250">
        <f t="shared" si="27"/>
        <v>0</v>
      </c>
      <c r="AG25" s="249"/>
      <c r="AH25" s="249"/>
      <c r="AI25" s="250">
        <f t="shared" si="28"/>
        <v>0</v>
      </c>
      <c r="AJ25" s="249"/>
      <c r="AK25" s="249"/>
      <c r="AL25" s="250">
        <f t="shared" si="29"/>
        <v>0</v>
      </c>
      <c r="AM25" s="249"/>
      <c r="AN25" s="249"/>
      <c r="AO25" s="250">
        <f t="shared" si="30"/>
        <v>0</v>
      </c>
      <c r="AP25" s="249"/>
      <c r="AQ25" s="249"/>
      <c r="AR25" s="250">
        <f t="shared" si="31"/>
        <v>0</v>
      </c>
      <c r="AS25" s="249"/>
      <c r="AT25" s="249"/>
      <c r="AU25" s="250">
        <f t="shared" si="32"/>
        <v>0</v>
      </c>
      <c r="AV25" s="249"/>
      <c r="AW25" s="249"/>
      <c r="AX25" s="250">
        <f t="shared" si="33"/>
        <v>0</v>
      </c>
      <c r="AY25" s="249"/>
      <c r="AZ25" s="249"/>
      <c r="BA25" s="250">
        <f t="shared" si="34"/>
        <v>0</v>
      </c>
      <c r="BB25" s="249"/>
      <c r="BC25" s="249"/>
      <c r="BD25" s="250">
        <f t="shared" si="35"/>
        <v>0</v>
      </c>
    </row>
    <row r="26" spans="1:56" s="255" customFormat="1" ht="19.5" customHeight="1">
      <c r="A26" s="252"/>
      <c r="B26" s="431" t="s">
        <v>221</v>
      </c>
      <c r="C26" s="425">
        <v>5835</v>
      </c>
      <c r="D26" s="425">
        <v>6135</v>
      </c>
      <c r="E26" s="509">
        <f t="shared" si="18"/>
        <v>5.1413881748071981</v>
      </c>
      <c r="F26" s="425">
        <v>10602</v>
      </c>
      <c r="G26" s="425">
        <v>10962</v>
      </c>
      <c r="H26" s="438">
        <f t="shared" si="19"/>
        <v>3.3955857385398982</v>
      </c>
      <c r="I26" s="425">
        <v>5899</v>
      </c>
      <c r="J26" s="425">
        <v>6067</v>
      </c>
      <c r="K26" s="438">
        <f t="shared" si="20"/>
        <v>2.8479403288693002</v>
      </c>
      <c r="L26" s="425">
        <v>10795</v>
      </c>
      <c r="M26" s="425">
        <v>11131</v>
      </c>
      <c r="N26" s="421">
        <f t="shared" si="21"/>
        <v>3.112552107457156</v>
      </c>
      <c r="O26" s="425"/>
      <c r="P26" s="425"/>
      <c r="Q26" s="421">
        <f t="shared" si="22"/>
        <v>0</v>
      </c>
      <c r="R26" s="425"/>
      <c r="S26" s="425"/>
      <c r="T26" s="421">
        <f t="shared" si="23"/>
        <v>0</v>
      </c>
      <c r="U26" s="425"/>
      <c r="V26" s="425"/>
      <c r="W26" s="421">
        <f t="shared" si="24"/>
        <v>0</v>
      </c>
      <c r="X26" s="425"/>
      <c r="Y26" s="425"/>
      <c r="Z26" s="421">
        <f t="shared" si="25"/>
        <v>0</v>
      </c>
      <c r="AA26" s="425"/>
      <c r="AB26" s="425"/>
      <c r="AC26" s="421">
        <f t="shared" si="26"/>
        <v>0</v>
      </c>
      <c r="AD26" s="425"/>
      <c r="AE26" s="425"/>
      <c r="AF26" s="421">
        <f t="shared" si="27"/>
        <v>0</v>
      </c>
      <c r="AG26" s="425"/>
      <c r="AH26" s="425"/>
      <c r="AI26" s="421">
        <f t="shared" si="28"/>
        <v>0</v>
      </c>
      <c r="AJ26" s="425"/>
      <c r="AK26" s="425"/>
      <c r="AL26" s="421">
        <f t="shared" si="29"/>
        <v>0</v>
      </c>
      <c r="AM26" s="425"/>
      <c r="AN26" s="425"/>
      <c r="AO26" s="421">
        <f t="shared" si="30"/>
        <v>0</v>
      </c>
      <c r="AP26" s="425"/>
      <c r="AQ26" s="425"/>
      <c r="AR26" s="421">
        <f t="shared" si="31"/>
        <v>0</v>
      </c>
      <c r="AS26" s="425"/>
      <c r="AT26" s="425"/>
      <c r="AU26" s="421">
        <f t="shared" si="32"/>
        <v>0</v>
      </c>
      <c r="AV26" s="425"/>
      <c r="AW26" s="425"/>
      <c r="AX26" s="421">
        <f t="shared" si="33"/>
        <v>0</v>
      </c>
      <c r="AY26" s="425"/>
      <c r="AZ26" s="425"/>
      <c r="BA26" s="421">
        <f t="shared" si="34"/>
        <v>0</v>
      </c>
      <c r="BB26" s="425"/>
      <c r="BC26" s="425"/>
      <c r="BD26" s="421">
        <f t="shared" si="35"/>
        <v>0</v>
      </c>
    </row>
    <row r="27" spans="1:56">
      <c r="A27" s="251"/>
      <c r="B27" s="259" t="s">
        <v>390</v>
      </c>
      <c r="C27" s="249"/>
      <c r="D27" s="249"/>
      <c r="E27" s="508">
        <f t="shared" si="18"/>
        <v>0</v>
      </c>
      <c r="F27" s="249"/>
      <c r="G27" s="249"/>
      <c r="H27" s="437">
        <f t="shared" si="19"/>
        <v>0</v>
      </c>
      <c r="I27" s="249"/>
      <c r="J27" s="249"/>
      <c r="K27" s="437">
        <f t="shared" si="20"/>
        <v>0</v>
      </c>
      <c r="L27" s="249"/>
      <c r="M27" s="249"/>
      <c r="N27" s="250">
        <f t="shared" si="21"/>
        <v>0</v>
      </c>
      <c r="O27" s="249"/>
      <c r="P27" s="249"/>
      <c r="Q27" s="250">
        <f t="shared" si="22"/>
        <v>0</v>
      </c>
      <c r="R27" s="249"/>
      <c r="S27" s="249"/>
      <c r="T27" s="250">
        <f t="shared" si="23"/>
        <v>0</v>
      </c>
      <c r="U27" s="249"/>
      <c r="V27" s="249"/>
      <c r="W27" s="250">
        <f t="shared" si="24"/>
        <v>0</v>
      </c>
      <c r="X27" s="249"/>
      <c r="Y27" s="249"/>
      <c r="Z27" s="250">
        <f t="shared" si="25"/>
        <v>0</v>
      </c>
      <c r="AA27" s="249"/>
      <c r="AB27" s="249"/>
      <c r="AC27" s="250">
        <f t="shared" si="26"/>
        <v>0</v>
      </c>
      <c r="AD27" s="249"/>
      <c r="AE27" s="249"/>
      <c r="AF27" s="250">
        <f t="shared" si="27"/>
        <v>0</v>
      </c>
      <c r="AG27" s="249"/>
      <c r="AH27" s="249"/>
      <c r="AI27" s="250">
        <f t="shared" si="28"/>
        <v>0</v>
      </c>
      <c r="AJ27" s="249"/>
      <c r="AK27" s="249"/>
      <c r="AL27" s="250">
        <f t="shared" si="29"/>
        <v>0</v>
      </c>
      <c r="AM27" s="249"/>
      <c r="AN27" s="249"/>
      <c r="AO27" s="250">
        <f t="shared" si="30"/>
        <v>0</v>
      </c>
      <c r="AP27" s="249"/>
      <c r="AQ27" s="249"/>
      <c r="AR27" s="250">
        <f t="shared" si="31"/>
        <v>0</v>
      </c>
      <c r="AS27" s="249"/>
      <c r="AT27" s="249"/>
      <c r="AU27" s="250">
        <f t="shared" si="32"/>
        <v>0</v>
      </c>
      <c r="AV27" s="249"/>
      <c r="AW27" s="249"/>
      <c r="AX27" s="250">
        <f t="shared" si="33"/>
        <v>0</v>
      </c>
      <c r="AY27" s="249"/>
      <c r="AZ27" s="249"/>
      <c r="BA27" s="250">
        <f t="shared" si="34"/>
        <v>0</v>
      </c>
      <c r="BB27" s="249"/>
      <c r="BC27" s="249"/>
      <c r="BD27" s="250">
        <f t="shared" si="35"/>
        <v>0</v>
      </c>
    </row>
    <row r="28" spans="1:56">
      <c r="A28" s="251"/>
      <c r="B28" s="259" t="s">
        <v>391</v>
      </c>
      <c r="C28" s="249">
        <v>2660</v>
      </c>
      <c r="D28" s="249">
        <v>2800</v>
      </c>
      <c r="E28" s="508">
        <f t="shared" si="18"/>
        <v>5.2631578947368416</v>
      </c>
      <c r="F28" s="249">
        <v>4190</v>
      </c>
      <c r="G28" s="249">
        <v>4330</v>
      </c>
      <c r="H28" s="437">
        <f t="shared" si="19"/>
        <v>3.3412887828162292</v>
      </c>
      <c r="I28" s="249"/>
      <c r="J28" s="249"/>
      <c r="K28" s="437">
        <f t="shared" si="20"/>
        <v>0</v>
      </c>
      <c r="L28" s="249"/>
      <c r="M28" s="249"/>
      <c r="N28" s="250">
        <f t="shared" si="21"/>
        <v>0</v>
      </c>
      <c r="O28" s="249"/>
      <c r="P28" s="249"/>
      <c r="Q28" s="250">
        <f t="shared" si="22"/>
        <v>0</v>
      </c>
      <c r="R28" s="249"/>
      <c r="S28" s="249"/>
      <c r="T28" s="250">
        <f t="shared" si="23"/>
        <v>0</v>
      </c>
      <c r="U28" s="249"/>
      <c r="V28" s="249"/>
      <c r="W28" s="250">
        <f t="shared" si="24"/>
        <v>0</v>
      </c>
      <c r="X28" s="249"/>
      <c r="Y28" s="249"/>
      <c r="Z28" s="250">
        <f t="shared" si="25"/>
        <v>0</v>
      </c>
      <c r="AA28" s="249"/>
      <c r="AB28" s="249"/>
      <c r="AC28" s="250">
        <f t="shared" si="26"/>
        <v>0</v>
      </c>
      <c r="AD28" s="249"/>
      <c r="AE28" s="249"/>
      <c r="AF28" s="250">
        <f t="shared" si="27"/>
        <v>0</v>
      </c>
      <c r="AG28" s="249"/>
      <c r="AH28" s="249"/>
      <c r="AI28" s="250">
        <f t="shared" si="28"/>
        <v>0</v>
      </c>
      <c r="AJ28" s="249"/>
      <c r="AK28" s="249"/>
      <c r="AL28" s="250">
        <f t="shared" si="29"/>
        <v>0</v>
      </c>
      <c r="AM28" s="249"/>
      <c r="AN28" s="249"/>
      <c r="AO28" s="250">
        <f t="shared" si="30"/>
        <v>0</v>
      </c>
      <c r="AP28" s="249"/>
      <c r="AQ28" s="249"/>
      <c r="AR28" s="250">
        <f t="shared" si="31"/>
        <v>0</v>
      </c>
      <c r="AS28" s="249"/>
      <c r="AT28" s="249"/>
      <c r="AU28" s="250">
        <f t="shared" si="32"/>
        <v>0</v>
      </c>
      <c r="AV28" s="249"/>
      <c r="AW28" s="249"/>
      <c r="AX28" s="250">
        <f t="shared" si="33"/>
        <v>0</v>
      </c>
      <c r="AY28" s="249"/>
      <c r="AZ28" s="249"/>
      <c r="BA28" s="250">
        <f t="shared" si="34"/>
        <v>0</v>
      </c>
      <c r="BB28" s="249"/>
      <c r="BC28" s="249"/>
      <c r="BD28" s="250">
        <f t="shared" si="35"/>
        <v>0</v>
      </c>
    </row>
    <row r="29" spans="1:56">
      <c r="A29" s="251"/>
      <c r="B29" s="259" t="s">
        <v>392</v>
      </c>
      <c r="C29" s="249">
        <v>2540</v>
      </c>
      <c r="D29" s="249">
        <v>2581.5</v>
      </c>
      <c r="E29" s="508">
        <f t="shared" si="18"/>
        <v>1.6338582677165356</v>
      </c>
      <c r="F29" s="249">
        <v>4501.5</v>
      </c>
      <c r="G29" s="249">
        <v>4606.5</v>
      </c>
      <c r="H29" s="437">
        <f t="shared" si="19"/>
        <v>2.332555814728424</v>
      </c>
      <c r="I29" s="249"/>
      <c r="J29" s="249"/>
      <c r="K29" s="437">
        <f t="shared" si="20"/>
        <v>0</v>
      </c>
      <c r="L29" s="249"/>
      <c r="M29" s="249"/>
      <c r="N29" s="250">
        <f t="shared" si="21"/>
        <v>0</v>
      </c>
      <c r="O29" s="249"/>
      <c r="P29" s="249"/>
      <c r="Q29" s="250">
        <f t="shared" si="22"/>
        <v>0</v>
      </c>
      <c r="R29" s="249"/>
      <c r="S29" s="249"/>
      <c r="T29" s="250">
        <f t="shared" si="23"/>
        <v>0</v>
      </c>
      <c r="U29" s="249"/>
      <c r="V29" s="249"/>
      <c r="W29" s="250">
        <f t="shared" si="24"/>
        <v>0</v>
      </c>
      <c r="X29" s="249"/>
      <c r="Y29" s="249"/>
      <c r="Z29" s="250">
        <f t="shared" si="25"/>
        <v>0</v>
      </c>
      <c r="AA29" s="249"/>
      <c r="AB29" s="249"/>
      <c r="AC29" s="250">
        <f t="shared" si="26"/>
        <v>0</v>
      </c>
      <c r="AD29" s="249"/>
      <c r="AE29" s="249"/>
      <c r="AF29" s="250">
        <f t="shared" si="27"/>
        <v>0</v>
      </c>
      <c r="AG29" s="249"/>
      <c r="AH29" s="249"/>
      <c r="AI29" s="250">
        <f t="shared" si="28"/>
        <v>0</v>
      </c>
      <c r="AJ29" s="249"/>
      <c r="AK29" s="249"/>
      <c r="AL29" s="250">
        <f t="shared" si="29"/>
        <v>0</v>
      </c>
      <c r="AM29" s="249"/>
      <c r="AN29" s="249"/>
      <c r="AO29" s="250">
        <f t="shared" si="30"/>
        <v>0</v>
      </c>
      <c r="AP29" s="249"/>
      <c r="AQ29" s="249"/>
      <c r="AR29" s="250">
        <f t="shared" si="31"/>
        <v>0</v>
      </c>
      <c r="AS29" s="249"/>
      <c r="AT29" s="249"/>
      <c r="AU29" s="250">
        <f t="shared" si="32"/>
        <v>0</v>
      </c>
      <c r="AV29" s="249"/>
      <c r="AW29" s="249"/>
      <c r="AX29" s="250">
        <f t="shared" si="33"/>
        <v>0</v>
      </c>
      <c r="AY29" s="249"/>
      <c r="AZ29" s="249"/>
      <c r="BA29" s="250">
        <f t="shared" si="34"/>
        <v>0</v>
      </c>
      <c r="BB29" s="249"/>
      <c r="BC29" s="249"/>
      <c r="BD29" s="250">
        <f t="shared" si="35"/>
        <v>0</v>
      </c>
    </row>
    <row r="30" spans="1:56">
      <c r="A30" s="251"/>
      <c r="B30" s="259" t="s">
        <v>196</v>
      </c>
      <c r="C30" s="249">
        <v>2130</v>
      </c>
      <c r="D30" s="249">
        <v>2200</v>
      </c>
      <c r="E30" s="508">
        <f t="shared" si="18"/>
        <v>3.286384976525822</v>
      </c>
      <c r="F30" s="249">
        <v>4240</v>
      </c>
      <c r="G30" s="249">
        <v>4360</v>
      </c>
      <c r="H30" s="437">
        <f t="shared" si="19"/>
        <v>2.8301886792452833</v>
      </c>
      <c r="I30" s="249"/>
      <c r="J30" s="249"/>
      <c r="K30" s="437">
        <f t="shared" si="20"/>
        <v>0</v>
      </c>
      <c r="L30" s="249"/>
      <c r="M30" s="249"/>
      <c r="N30" s="250">
        <f t="shared" si="21"/>
        <v>0</v>
      </c>
      <c r="O30" s="249"/>
      <c r="P30" s="249"/>
      <c r="Q30" s="250">
        <f t="shared" si="22"/>
        <v>0</v>
      </c>
      <c r="R30" s="249"/>
      <c r="S30" s="249"/>
      <c r="T30" s="250">
        <f t="shared" si="23"/>
        <v>0</v>
      </c>
      <c r="U30" s="249"/>
      <c r="V30" s="249"/>
      <c r="W30" s="250">
        <f t="shared" si="24"/>
        <v>0</v>
      </c>
      <c r="X30" s="249"/>
      <c r="Y30" s="249"/>
      <c r="Z30" s="250">
        <f t="shared" si="25"/>
        <v>0</v>
      </c>
      <c r="AA30" s="249"/>
      <c r="AB30" s="249"/>
      <c r="AC30" s="250">
        <f t="shared" si="26"/>
        <v>0</v>
      </c>
      <c r="AD30" s="249"/>
      <c r="AE30" s="249"/>
      <c r="AF30" s="250">
        <f t="shared" si="27"/>
        <v>0</v>
      </c>
      <c r="AG30" s="249"/>
      <c r="AH30" s="249"/>
      <c r="AI30" s="250">
        <f t="shared" si="28"/>
        <v>0</v>
      </c>
      <c r="AJ30" s="249"/>
      <c r="AK30" s="249"/>
      <c r="AL30" s="250">
        <f t="shared" si="29"/>
        <v>0</v>
      </c>
      <c r="AM30" s="249"/>
      <c r="AN30" s="249"/>
      <c r="AO30" s="250">
        <f t="shared" si="30"/>
        <v>0</v>
      </c>
      <c r="AP30" s="249"/>
      <c r="AQ30" s="249"/>
      <c r="AR30" s="250">
        <f t="shared" si="31"/>
        <v>0</v>
      </c>
      <c r="AS30" s="249"/>
      <c r="AT30" s="249"/>
      <c r="AU30" s="250">
        <f t="shared" si="32"/>
        <v>0</v>
      </c>
      <c r="AV30" s="249"/>
      <c r="AW30" s="249"/>
      <c r="AX30" s="250">
        <f t="shared" si="33"/>
        <v>0</v>
      </c>
      <c r="AY30" s="249"/>
      <c r="AZ30" s="249"/>
      <c r="BA30" s="250">
        <f t="shared" si="34"/>
        <v>0</v>
      </c>
      <c r="BB30" s="249"/>
      <c r="BC30" s="249"/>
      <c r="BD30" s="250">
        <f t="shared" si="35"/>
        <v>0</v>
      </c>
    </row>
    <row r="31" spans="1:56" s="255" customFormat="1" ht="20.25" customHeight="1">
      <c r="A31" s="252"/>
      <c r="B31" s="431" t="s">
        <v>550</v>
      </c>
      <c r="C31" s="425">
        <v>2152.5</v>
      </c>
      <c r="D31" s="425">
        <v>2220</v>
      </c>
      <c r="E31" s="509">
        <f t="shared" si="18"/>
        <v>3.1358885017421603</v>
      </c>
      <c r="F31" s="425">
        <v>4250</v>
      </c>
      <c r="G31" s="425">
        <v>4355</v>
      </c>
      <c r="H31" s="438">
        <f t="shared" si="19"/>
        <v>2.4705882352941173</v>
      </c>
      <c r="I31" s="425"/>
      <c r="J31" s="425"/>
      <c r="K31" s="438">
        <f t="shared" si="20"/>
        <v>0</v>
      </c>
      <c r="L31" s="425"/>
      <c r="M31" s="425"/>
      <c r="N31" s="421">
        <f t="shared" si="21"/>
        <v>0</v>
      </c>
      <c r="O31" s="425"/>
      <c r="P31" s="425"/>
      <c r="Q31" s="421">
        <f t="shared" si="22"/>
        <v>0</v>
      </c>
      <c r="R31" s="425"/>
      <c r="S31" s="425"/>
      <c r="T31" s="421">
        <f t="shared" si="23"/>
        <v>0</v>
      </c>
      <c r="U31" s="425"/>
      <c r="V31" s="425"/>
      <c r="W31" s="421">
        <f t="shared" si="24"/>
        <v>0</v>
      </c>
      <c r="X31" s="425"/>
      <c r="Y31" s="425"/>
      <c r="Z31" s="421">
        <f t="shared" si="25"/>
        <v>0</v>
      </c>
      <c r="AA31" s="425"/>
      <c r="AB31" s="425"/>
      <c r="AC31" s="421">
        <f t="shared" si="26"/>
        <v>0</v>
      </c>
      <c r="AD31" s="425"/>
      <c r="AE31" s="425"/>
      <c r="AF31" s="421">
        <f t="shared" si="27"/>
        <v>0</v>
      </c>
      <c r="AG31" s="425"/>
      <c r="AH31" s="425"/>
      <c r="AI31" s="421">
        <f t="shared" si="28"/>
        <v>0</v>
      </c>
      <c r="AJ31" s="425"/>
      <c r="AK31" s="425"/>
      <c r="AL31" s="421">
        <f t="shared" si="29"/>
        <v>0</v>
      </c>
      <c r="AM31" s="425"/>
      <c r="AN31" s="425"/>
      <c r="AO31" s="421">
        <f t="shared" si="30"/>
        <v>0</v>
      </c>
      <c r="AP31" s="425"/>
      <c r="AQ31" s="425"/>
      <c r="AR31" s="421">
        <f t="shared" si="31"/>
        <v>0</v>
      </c>
      <c r="AS31" s="425"/>
      <c r="AT31" s="425"/>
      <c r="AU31" s="421">
        <f t="shared" si="32"/>
        <v>0</v>
      </c>
      <c r="AV31" s="425"/>
      <c r="AW31" s="425"/>
      <c r="AX31" s="421">
        <f t="shared" si="33"/>
        <v>0</v>
      </c>
      <c r="AY31" s="425"/>
      <c r="AZ31" s="425"/>
      <c r="BA31" s="421">
        <f t="shared" si="34"/>
        <v>0</v>
      </c>
      <c r="BB31" s="425"/>
      <c r="BC31" s="425"/>
      <c r="BD31" s="421">
        <f t="shared" si="35"/>
        <v>0</v>
      </c>
    </row>
    <row r="32" spans="1:56">
      <c r="A32" s="251"/>
      <c r="B32" s="259" t="s">
        <v>197</v>
      </c>
      <c r="C32" s="249"/>
      <c r="D32" s="249"/>
      <c r="E32" s="508">
        <f t="shared" si="18"/>
        <v>0</v>
      </c>
      <c r="F32" s="249"/>
      <c r="G32" s="249"/>
      <c r="H32" s="437">
        <f t="shared" si="19"/>
        <v>0</v>
      </c>
      <c r="I32" s="249"/>
      <c r="J32" s="249"/>
      <c r="K32" s="437">
        <f t="shared" si="20"/>
        <v>0</v>
      </c>
      <c r="L32" s="249"/>
      <c r="M32" s="249"/>
      <c r="N32" s="250">
        <f t="shared" si="21"/>
        <v>0</v>
      </c>
      <c r="O32" s="249"/>
      <c r="P32" s="249"/>
      <c r="Q32" s="250">
        <f t="shared" si="22"/>
        <v>0</v>
      </c>
      <c r="R32" s="249"/>
      <c r="S32" s="249"/>
      <c r="T32" s="250">
        <f t="shared" si="23"/>
        <v>0</v>
      </c>
      <c r="U32" s="249"/>
      <c r="V32" s="249"/>
      <c r="W32" s="250">
        <f t="shared" si="24"/>
        <v>0</v>
      </c>
      <c r="X32" s="249"/>
      <c r="Y32" s="249"/>
      <c r="Z32" s="250">
        <f t="shared" si="25"/>
        <v>0</v>
      </c>
      <c r="AA32" s="249"/>
      <c r="AB32" s="249"/>
      <c r="AC32" s="250">
        <f t="shared" si="26"/>
        <v>0</v>
      </c>
      <c r="AD32" s="249"/>
      <c r="AE32" s="249"/>
      <c r="AF32" s="250">
        <f t="shared" si="27"/>
        <v>0</v>
      </c>
      <c r="AG32" s="249"/>
      <c r="AH32" s="249"/>
      <c r="AI32" s="250">
        <f t="shared" si="28"/>
        <v>0</v>
      </c>
      <c r="AJ32" s="249"/>
      <c r="AK32" s="249"/>
      <c r="AL32" s="250">
        <f t="shared" si="29"/>
        <v>0</v>
      </c>
      <c r="AM32" s="249"/>
      <c r="AN32" s="249"/>
      <c r="AO32" s="250">
        <f t="shared" si="30"/>
        <v>0</v>
      </c>
      <c r="AP32" s="249"/>
      <c r="AQ32" s="249"/>
      <c r="AR32" s="250">
        <f t="shared" si="31"/>
        <v>0</v>
      </c>
      <c r="AS32" s="249"/>
      <c r="AT32" s="249"/>
      <c r="AU32" s="250">
        <f t="shared" si="32"/>
        <v>0</v>
      </c>
      <c r="AV32" s="249"/>
      <c r="AW32" s="249"/>
      <c r="AX32" s="250">
        <f t="shared" si="33"/>
        <v>0</v>
      </c>
      <c r="AY32" s="249"/>
      <c r="AZ32" s="249"/>
      <c r="BA32" s="250">
        <f t="shared" si="34"/>
        <v>0</v>
      </c>
      <c r="BB32" s="249"/>
      <c r="BC32" s="249"/>
      <c r="BD32" s="250">
        <f t="shared" si="35"/>
        <v>0</v>
      </c>
    </row>
    <row r="33" spans="1:56">
      <c r="A33" s="251"/>
      <c r="B33" s="259" t="s">
        <v>326</v>
      </c>
      <c r="C33" s="249"/>
      <c r="D33" s="249"/>
      <c r="E33" s="508">
        <f t="shared" si="18"/>
        <v>0</v>
      </c>
      <c r="F33" s="249"/>
      <c r="G33" s="249"/>
      <c r="H33" s="437">
        <f t="shared" si="19"/>
        <v>0</v>
      </c>
      <c r="I33" s="249"/>
      <c r="J33" s="249"/>
      <c r="K33" s="437">
        <f t="shared" si="20"/>
        <v>0</v>
      </c>
      <c r="L33" s="249"/>
      <c r="M33" s="249"/>
      <c r="N33" s="250">
        <f t="shared" si="21"/>
        <v>0</v>
      </c>
      <c r="O33" s="249"/>
      <c r="P33" s="249"/>
      <c r="Q33" s="250">
        <f t="shared" si="22"/>
        <v>0</v>
      </c>
      <c r="R33" s="249"/>
      <c r="S33" s="249"/>
      <c r="T33" s="250">
        <f t="shared" si="23"/>
        <v>0</v>
      </c>
      <c r="U33" s="249"/>
      <c r="V33" s="249"/>
      <c r="W33" s="250">
        <f t="shared" si="24"/>
        <v>0</v>
      </c>
      <c r="X33" s="249"/>
      <c r="Y33" s="249"/>
      <c r="Z33" s="250">
        <f t="shared" si="25"/>
        <v>0</v>
      </c>
      <c r="AA33" s="249"/>
      <c r="AB33" s="249"/>
      <c r="AC33" s="250">
        <f t="shared" si="26"/>
        <v>0</v>
      </c>
      <c r="AD33" s="249"/>
      <c r="AE33" s="249"/>
      <c r="AF33" s="250">
        <f t="shared" si="27"/>
        <v>0</v>
      </c>
      <c r="AG33" s="249"/>
      <c r="AH33" s="249"/>
      <c r="AI33" s="250">
        <f t="shared" si="28"/>
        <v>0</v>
      </c>
      <c r="AJ33" s="249"/>
      <c r="AK33" s="249"/>
      <c r="AL33" s="250">
        <f t="shared" si="29"/>
        <v>0</v>
      </c>
      <c r="AM33" s="249"/>
      <c r="AN33" s="249"/>
      <c r="AO33" s="250">
        <f t="shared" si="30"/>
        <v>0</v>
      </c>
      <c r="AP33" s="249"/>
      <c r="AQ33" s="249"/>
      <c r="AR33" s="250">
        <f t="shared" si="31"/>
        <v>0</v>
      </c>
      <c r="AS33" s="249"/>
      <c r="AT33" s="249"/>
      <c r="AU33" s="250">
        <f t="shared" si="32"/>
        <v>0</v>
      </c>
      <c r="AV33" s="249"/>
      <c r="AW33" s="249"/>
      <c r="AX33" s="250">
        <f t="shared" si="33"/>
        <v>0</v>
      </c>
      <c r="AY33" s="249"/>
      <c r="AZ33" s="249"/>
      <c r="BA33" s="250">
        <f t="shared" si="34"/>
        <v>0</v>
      </c>
      <c r="BB33" s="249"/>
      <c r="BC33" s="249"/>
      <c r="BD33" s="250">
        <f t="shared" si="35"/>
        <v>0</v>
      </c>
    </row>
    <row r="34" spans="1:56">
      <c r="A34" s="251"/>
      <c r="B34" s="259" t="s">
        <v>327</v>
      </c>
      <c r="C34" s="249"/>
      <c r="D34" s="249"/>
      <c r="E34" s="508"/>
      <c r="F34" s="249"/>
      <c r="G34" s="249"/>
      <c r="H34" s="437">
        <f t="shared" si="19"/>
        <v>0</v>
      </c>
      <c r="I34" s="249"/>
      <c r="J34" s="249"/>
      <c r="K34" s="437">
        <f t="shared" si="20"/>
        <v>0</v>
      </c>
      <c r="L34" s="249"/>
      <c r="M34" s="249"/>
      <c r="N34" s="250">
        <f t="shared" si="21"/>
        <v>0</v>
      </c>
      <c r="O34" s="249"/>
      <c r="P34" s="249"/>
      <c r="Q34" s="250">
        <f t="shared" si="22"/>
        <v>0</v>
      </c>
      <c r="R34" s="249"/>
      <c r="S34" s="249"/>
      <c r="T34" s="250">
        <f t="shared" si="23"/>
        <v>0</v>
      </c>
      <c r="U34" s="249"/>
      <c r="V34" s="249"/>
      <c r="W34" s="250">
        <f t="shared" si="24"/>
        <v>0</v>
      </c>
      <c r="X34" s="249"/>
      <c r="Y34" s="249"/>
      <c r="Z34" s="250">
        <f t="shared" si="25"/>
        <v>0</v>
      </c>
      <c r="AA34" s="249"/>
      <c r="AB34" s="249"/>
      <c r="AC34" s="250">
        <f t="shared" si="26"/>
        <v>0</v>
      </c>
      <c r="AD34" s="249"/>
      <c r="AE34" s="249"/>
      <c r="AF34" s="250">
        <f t="shared" si="27"/>
        <v>0</v>
      </c>
      <c r="AG34" s="249"/>
      <c r="AH34" s="249"/>
      <c r="AI34" s="250">
        <f t="shared" si="28"/>
        <v>0</v>
      </c>
      <c r="AJ34" s="249"/>
      <c r="AK34" s="249"/>
      <c r="AL34" s="250">
        <f t="shared" si="29"/>
        <v>0</v>
      </c>
      <c r="AM34" s="249"/>
      <c r="AN34" s="249"/>
      <c r="AO34" s="250">
        <f t="shared" si="30"/>
        <v>0</v>
      </c>
      <c r="AP34" s="249"/>
      <c r="AQ34" s="249"/>
      <c r="AR34" s="250">
        <f t="shared" si="31"/>
        <v>0</v>
      </c>
      <c r="AS34" s="249"/>
      <c r="AT34" s="249"/>
      <c r="AU34" s="250">
        <f t="shared" si="32"/>
        <v>0</v>
      </c>
      <c r="AV34" s="249"/>
      <c r="AW34" s="249"/>
      <c r="AX34" s="250">
        <f t="shared" si="33"/>
        <v>0</v>
      </c>
      <c r="AY34" s="249"/>
      <c r="AZ34" s="249"/>
      <c r="BA34" s="250">
        <f t="shared" si="34"/>
        <v>0</v>
      </c>
      <c r="BB34" s="249"/>
      <c r="BC34" s="249"/>
      <c r="BD34" s="250">
        <f t="shared" si="35"/>
        <v>0</v>
      </c>
    </row>
    <row r="35" spans="1:56" s="255" customFormat="1" ht="21.75" customHeight="1">
      <c r="A35" s="252"/>
      <c r="B35" s="427" t="s">
        <v>315</v>
      </c>
      <c r="C35" s="253"/>
      <c r="D35" s="253"/>
      <c r="E35" s="511">
        <f>IF(C35&gt;0,(((D35-C35)/C35)*100),0)</f>
        <v>0</v>
      </c>
      <c r="F35" s="253"/>
      <c r="G35" s="253"/>
      <c r="H35" s="440">
        <f t="shared" si="19"/>
        <v>0</v>
      </c>
      <c r="I35" s="253"/>
      <c r="J35" s="253"/>
      <c r="K35" s="440">
        <f t="shared" si="20"/>
        <v>0</v>
      </c>
      <c r="L35" s="253"/>
      <c r="M35" s="253"/>
      <c r="N35" s="254">
        <f t="shared" si="21"/>
        <v>0</v>
      </c>
      <c r="O35" s="253"/>
      <c r="P35" s="253"/>
      <c r="Q35" s="254">
        <f t="shared" si="22"/>
        <v>0</v>
      </c>
      <c r="R35" s="253"/>
      <c r="S35" s="253"/>
      <c r="T35" s="254">
        <f t="shared" si="23"/>
        <v>0</v>
      </c>
      <c r="U35" s="253"/>
      <c r="V35" s="253"/>
      <c r="W35" s="254">
        <f t="shared" si="24"/>
        <v>0</v>
      </c>
      <c r="X35" s="253"/>
      <c r="Y35" s="253"/>
      <c r="Z35" s="254">
        <f t="shared" si="25"/>
        <v>0</v>
      </c>
      <c r="AA35" s="253"/>
      <c r="AB35" s="253"/>
      <c r="AC35" s="254">
        <f t="shared" si="26"/>
        <v>0</v>
      </c>
      <c r="AD35" s="253"/>
      <c r="AE35" s="253"/>
      <c r="AF35" s="254">
        <f t="shared" si="27"/>
        <v>0</v>
      </c>
      <c r="AG35" s="253"/>
      <c r="AH35" s="253"/>
      <c r="AI35" s="254">
        <f t="shared" si="28"/>
        <v>0</v>
      </c>
      <c r="AJ35" s="253"/>
      <c r="AK35" s="253"/>
      <c r="AL35" s="254">
        <f t="shared" si="29"/>
        <v>0</v>
      </c>
      <c r="AM35" s="253"/>
      <c r="AN35" s="253"/>
      <c r="AO35" s="254">
        <f t="shared" si="30"/>
        <v>0</v>
      </c>
      <c r="AP35" s="253"/>
      <c r="AQ35" s="253"/>
      <c r="AR35" s="254">
        <f t="shared" si="31"/>
        <v>0</v>
      </c>
      <c r="AS35" s="253"/>
      <c r="AT35" s="253"/>
      <c r="AU35" s="254">
        <f t="shared" si="32"/>
        <v>0</v>
      </c>
      <c r="AV35" s="253"/>
      <c r="AW35" s="253"/>
      <c r="AX35" s="254">
        <f t="shared" si="33"/>
        <v>0</v>
      </c>
      <c r="AY35" s="253"/>
      <c r="AZ35" s="253"/>
      <c r="BA35" s="254">
        <f t="shared" si="34"/>
        <v>0</v>
      </c>
      <c r="BB35" s="253"/>
      <c r="BC35" s="253"/>
      <c r="BD35" s="254">
        <f t="shared" si="35"/>
        <v>0</v>
      </c>
    </row>
    <row r="36" spans="1:56">
      <c r="A36" s="256"/>
      <c r="B36" s="428" t="s">
        <v>198</v>
      </c>
      <c r="C36" s="257"/>
      <c r="D36" s="257"/>
      <c r="E36" s="510"/>
      <c r="F36" s="257"/>
      <c r="G36" s="257"/>
      <c r="H36" s="439"/>
      <c r="I36" s="257"/>
      <c r="J36" s="257"/>
      <c r="K36" s="439"/>
      <c r="L36" s="257"/>
      <c r="M36" s="257"/>
      <c r="N36" s="258"/>
      <c r="O36" s="257">
        <v>8702</v>
      </c>
      <c r="P36" s="257">
        <v>8868</v>
      </c>
      <c r="Q36" s="258">
        <f t="shared" si="22"/>
        <v>1.9076074465640085</v>
      </c>
      <c r="R36" s="257">
        <v>17500</v>
      </c>
      <c r="S36" s="257">
        <v>17793</v>
      </c>
      <c r="T36" s="258">
        <f t="shared" si="23"/>
        <v>1.6742857142857144</v>
      </c>
      <c r="U36" s="257">
        <v>17244</v>
      </c>
      <c r="V36" s="257">
        <v>17951</v>
      </c>
      <c r="W36" s="258">
        <f t="shared" si="24"/>
        <v>4.0999768035258644</v>
      </c>
      <c r="X36" s="257">
        <v>33708</v>
      </c>
      <c r="Y36" s="257">
        <v>35075</v>
      </c>
      <c r="Z36" s="258">
        <f t="shared" si="25"/>
        <v>4.0554171116648865</v>
      </c>
      <c r="AA36" s="257"/>
      <c r="AB36" s="257"/>
      <c r="AC36" s="258">
        <f t="shared" si="26"/>
        <v>0</v>
      </c>
      <c r="AD36" s="257"/>
      <c r="AE36" s="257"/>
      <c r="AF36" s="258">
        <f t="shared" si="27"/>
        <v>0</v>
      </c>
      <c r="AG36" s="257">
        <v>9869</v>
      </c>
      <c r="AH36" s="257">
        <v>10363</v>
      </c>
      <c r="AI36" s="258">
        <f t="shared" si="28"/>
        <v>5.0055730063836252</v>
      </c>
      <c r="AJ36" s="257">
        <v>19509</v>
      </c>
      <c r="AK36" s="257">
        <v>20483</v>
      </c>
      <c r="AL36" s="258">
        <f t="shared" si="29"/>
        <v>4.992567532933518</v>
      </c>
      <c r="AM36" s="257"/>
      <c r="AN36" s="257"/>
      <c r="AO36" s="258">
        <f t="shared" si="30"/>
        <v>0</v>
      </c>
      <c r="AP36" s="257"/>
      <c r="AQ36" s="257"/>
      <c r="AR36" s="258">
        <f t="shared" si="31"/>
        <v>0</v>
      </c>
      <c r="AS36" s="257"/>
      <c r="AT36" s="257"/>
      <c r="AU36" s="258">
        <f t="shared" si="32"/>
        <v>0</v>
      </c>
      <c r="AV36" s="257"/>
      <c r="AW36" s="257"/>
      <c r="AX36" s="258">
        <f t="shared" si="33"/>
        <v>0</v>
      </c>
      <c r="AY36" s="257"/>
      <c r="AZ36" s="257"/>
      <c r="BA36" s="258">
        <f t="shared" si="34"/>
        <v>0</v>
      </c>
      <c r="BB36" s="257"/>
      <c r="BC36" s="257"/>
      <c r="BD36" s="258">
        <f t="shared" si="35"/>
        <v>0</v>
      </c>
    </row>
    <row r="37" spans="1:56">
      <c r="A37" s="247" t="s">
        <v>638</v>
      </c>
      <c r="B37" s="259" t="s">
        <v>384</v>
      </c>
      <c r="C37" s="249">
        <v>8646</v>
      </c>
      <c r="D37" s="249">
        <v>9486</v>
      </c>
      <c r="E37" s="508">
        <f t="shared" ref="E37:E50" si="36">IF(C37&gt;0,(((D37-C37)/C37)*100),0)</f>
        <v>9.7154753643303273</v>
      </c>
      <c r="F37" s="249">
        <v>21126</v>
      </c>
      <c r="G37" s="249">
        <v>23186</v>
      </c>
      <c r="H37" s="437">
        <f t="shared" ref="H37:H52" si="37">IF(F37&gt;0,(((G37-F37)/F37)*100),0)</f>
        <v>9.7510177033039849</v>
      </c>
      <c r="I37" s="249">
        <v>8466</v>
      </c>
      <c r="J37" s="249">
        <v>22952</v>
      </c>
      <c r="K37" s="506">
        <f t="shared" ref="K37:K52" si="38">IF(I37&gt;0,(((J37-I37)/I37)*100),0)</f>
        <v>171.10796125679187</v>
      </c>
      <c r="L37" s="249">
        <v>20946</v>
      </c>
      <c r="M37" s="249">
        <v>22952</v>
      </c>
      <c r="N37" s="250">
        <f t="shared" ref="N37:N52" si="39">IF(L37&gt;0,(((M37-L37)/L37)*100),0)</f>
        <v>9.5770075432063386</v>
      </c>
      <c r="O37" s="249"/>
      <c r="P37" s="249"/>
      <c r="Q37" s="250">
        <f t="shared" si="22"/>
        <v>0</v>
      </c>
      <c r="R37" s="249"/>
      <c r="S37" s="249"/>
      <c r="T37" s="250">
        <f t="shared" si="23"/>
        <v>0</v>
      </c>
      <c r="U37" s="249"/>
      <c r="V37" s="249"/>
      <c r="W37" s="250">
        <f t="shared" si="24"/>
        <v>0</v>
      </c>
      <c r="X37" s="249"/>
      <c r="Y37" s="249"/>
      <c r="Z37" s="250">
        <f t="shared" si="25"/>
        <v>0</v>
      </c>
      <c r="AA37" s="249"/>
      <c r="AB37" s="249"/>
      <c r="AC37" s="250">
        <f t="shared" si="26"/>
        <v>0</v>
      </c>
      <c r="AD37" s="249"/>
      <c r="AE37" s="249"/>
      <c r="AF37" s="250">
        <f t="shared" si="27"/>
        <v>0</v>
      </c>
      <c r="AG37" s="249"/>
      <c r="AH37" s="249"/>
      <c r="AI37" s="250">
        <f t="shared" si="28"/>
        <v>0</v>
      </c>
      <c r="AJ37" s="249"/>
      <c r="AK37" s="249"/>
      <c r="AL37" s="250">
        <f t="shared" si="29"/>
        <v>0</v>
      </c>
      <c r="AM37" s="249"/>
      <c r="AN37" s="249"/>
      <c r="AO37" s="250">
        <f t="shared" si="30"/>
        <v>0</v>
      </c>
      <c r="AP37" s="249"/>
      <c r="AQ37" s="249"/>
      <c r="AR37" s="250">
        <f t="shared" si="31"/>
        <v>0</v>
      </c>
      <c r="AS37" s="249"/>
      <c r="AT37" s="249"/>
      <c r="AU37" s="250">
        <f t="shared" si="32"/>
        <v>0</v>
      </c>
      <c r="AV37" s="249"/>
      <c r="AW37" s="249"/>
      <c r="AX37" s="250">
        <f t="shared" si="33"/>
        <v>0</v>
      </c>
      <c r="AY37" s="249"/>
      <c r="AZ37" s="249"/>
      <c r="BA37" s="250">
        <f t="shared" si="34"/>
        <v>0</v>
      </c>
      <c r="BB37" s="249"/>
      <c r="BC37" s="249"/>
      <c r="BD37" s="250">
        <f t="shared" si="35"/>
        <v>0</v>
      </c>
    </row>
    <row r="38" spans="1:56">
      <c r="A38" s="251"/>
      <c r="B38" s="259" t="s">
        <v>385</v>
      </c>
      <c r="C38" s="249"/>
      <c r="D38" s="249"/>
      <c r="E38" s="508">
        <f t="shared" si="36"/>
        <v>0</v>
      </c>
      <c r="F38" s="249"/>
      <c r="G38" s="249"/>
      <c r="H38" s="437">
        <f t="shared" si="37"/>
        <v>0</v>
      </c>
      <c r="I38" s="249"/>
      <c r="J38" s="249"/>
      <c r="K38" s="437">
        <f t="shared" si="38"/>
        <v>0</v>
      </c>
      <c r="L38" s="249"/>
      <c r="M38" s="249"/>
      <c r="N38" s="250">
        <f t="shared" si="39"/>
        <v>0</v>
      </c>
      <c r="O38" s="249"/>
      <c r="P38" s="249"/>
      <c r="Q38" s="250">
        <f t="shared" si="22"/>
        <v>0</v>
      </c>
      <c r="R38" s="249"/>
      <c r="S38" s="249"/>
      <c r="T38" s="250">
        <f t="shared" si="23"/>
        <v>0</v>
      </c>
      <c r="U38" s="249"/>
      <c r="V38" s="249"/>
      <c r="W38" s="250">
        <f t="shared" si="24"/>
        <v>0</v>
      </c>
      <c r="X38" s="249"/>
      <c r="Y38" s="249"/>
      <c r="Z38" s="250">
        <f t="shared" si="25"/>
        <v>0</v>
      </c>
      <c r="AA38" s="249"/>
      <c r="AB38" s="249"/>
      <c r="AC38" s="250">
        <f t="shared" si="26"/>
        <v>0</v>
      </c>
      <c r="AD38" s="249"/>
      <c r="AE38" s="249"/>
      <c r="AF38" s="250">
        <f t="shared" si="27"/>
        <v>0</v>
      </c>
      <c r="AG38" s="249"/>
      <c r="AH38" s="249"/>
      <c r="AI38" s="250">
        <f t="shared" si="28"/>
        <v>0</v>
      </c>
      <c r="AJ38" s="249"/>
      <c r="AK38" s="249"/>
      <c r="AL38" s="250">
        <f t="shared" si="29"/>
        <v>0</v>
      </c>
      <c r="AM38" s="249"/>
      <c r="AN38" s="249"/>
      <c r="AO38" s="250">
        <f t="shared" si="30"/>
        <v>0</v>
      </c>
      <c r="AP38" s="249"/>
      <c r="AQ38" s="249"/>
      <c r="AR38" s="250">
        <f t="shared" si="31"/>
        <v>0</v>
      </c>
      <c r="AS38" s="249"/>
      <c r="AT38" s="249"/>
      <c r="AU38" s="250">
        <f t="shared" si="32"/>
        <v>0</v>
      </c>
      <c r="AV38" s="249"/>
      <c r="AW38" s="249"/>
      <c r="AX38" s="250">
        <f t="shared" si="33"/>
        <v>0</v>
      </c>
      <c r="AY38" s="249"/>
      <c r="AZ38" s="249"/>
      <c r="BA38" s="250">
        <f t="shared" si="34"/>
        <v>0</v>
      </c>
      <c r="BB38" s="249"/>
      <c r="BC38" s="249"/>
      <c r="BD38" s="250">
        <f t="shared" si="35"/>
        <v>0</v>
      </c>
    </row>
    <row r="39" spans="1:56">
      <c r="A39" s="251"/>
      <c r="B39" s="259" t="s">
        <v>386</v>
      </c>
      <c r="C39" s="249"/>
      <c r="D39" s="249"/>
      <c r="E39" s="508">
        <f t="shared" si="36"/>
        <v>0</v>
      </c>
      <c r="F39" s="249"/>
      <c r="G39" s="249"/>
      <c r="H39" s="437">
        <f t="shared" si="37"/>
        <v>0</v>
      </c>
      <c r="I39" s="249"/>
      <c r="J39" s="249"/>
      <c r="K39" s="437">
        <f t="shared" si="38"/>
        <v>0</v>
      </c>
      <c r="L39" s="249"/>
      <c r="M39" s="249"/>
      <c r="N39" s="250">
        <f t="shared" si="39"/>
        <v>0</v>
      </c>
      <c r="O39" s="249"/>
      <c r="P39" s="249"/>
      <c r="Q39" s="250">
        <f t="shared" si="22"/>
        <v>0</v>
      </c>
      <c r="R39" s="249"/>
      <c r="S39" s="249"/>
      <c r="T39" s="250">
        <f t="shared" si="23"/>
        <v>0</v>
      </c>
      <c r="U39" s="249"/>
      <c r="V39" s="249"/>
      <c r="W39" s="250">
        <f t="shared" si="24"/>
        <v>0</v>
      </c>
      <c r="X39" s="249"/>
      <c r="Y39" s="249"/>
      <c r="Z39" s="250">
        <f t="shared" si="25"/>
        <v>0</v>
      </c>
      <c r="AA39" s="249"/>
      <c r="AB39" s="249"/>
      <c r="AC39" s="250">
        <f t="shared" si="26"/>
        <v>0</v>
      </c>
      <c r="AD39" s="249"/>
      <c r="AE39" s="249"/>
      <c r="AF39" s="250">
        <f t="shared" si="27"/>
        <v>0</v>
      </c>
      <c r="AG39" s="249"/>
      <c r="AH39" s="249"/>
      <c r="AI39" s="250">
        <f t="shared" si="28"/>
        <v>0</v>
      </c>
      <c r="AJ39" s="249"/>
      <c r="AK39" s="249"/>
      <c r="AL39" s="250">
        <f t="shared" si="29"/>
        <v>0</v>
      </c>
      <c r="AM39" s="249"/>
      <c r="AN39" s="249"/>
      <c r="AO39" s="250">
        <f t="shared" si="30"/>
        <v>0</v>
      </c>
      <c r="AP39" s="249"/>
      <c r="AQ39" s="249"/>
      <c r="AR39" s="250">
        <f t="shared" si="31"/>
        <v>0</v>
      </c>
      <c r="AS39" s="249"/>
      <c r="AT39" s="249"/>
      <c r="AU39" s="250">
        <f t="shared" si="32"/>
        <v>0</v>
      </c>
      <c r="AV39" s="249"/>
      <c r="AW39" s="249"/>
      <c r="AX39" s="250">
        <f t="shared" si="33"/>
        <v>0</v>
      </c>
      <c r="AY39" s="249"/>
      <c r="AZ39" s="249"/>
      <c r="BA39" s="250">
        <f t="shared" si="34"/>
        <v>0</v>
      </c>
      <c r="BB39" s="249"/>
      <c r="BC39" s="249"/>
      <c r="BD39" s="250">
        <f t="shared" si="35"/>
        <v>0</v>
      </c>
    </row>
    <row r="40" spans="1:56">
      <c r="A40" s="251"/>
      <c r="B40" s="259" t="s">
        <v>387</v>
      </c>
      <c r="C40" s="249">
        <v>6481</v>
      </c>
      <c r="D40" s="249">
        <v>6481</v>
      </c>
      <c r="E40" s="508">
        <f t="shared" si="36"/>
        <v>0</v>
      </c>
      <c r="F40" s="249">
        <v>13742</v>
      </c>
      <c r="G40" s="249">
        <v>13742</v>
      </c>
      <c r="H40" s="437">
        <f t="shared" si="37"/>
        <v>0</v>
      </c>
      <c r="I40" s="249">
        <v>6914</v>
      </c>
      <c r="J40" s="249">
        <v>4730</v>
      </c>
      <c r="K40" s="506">
        <f t="shared" si="38"/>
        <v>-31.588082152155049</v>
      </c>
      <c r="L40" s="249">
        <v>14786</v>
      </c>
      <c r="M40" s="249">
        <v>9974</v>
      </c>
      <c r="N40" s="506">
        <f t="shared" si="39"/>
        <v>-32.544298660895443</v>
      </c>
      <c r="O40" s="249"/>
      <c r="P40" s="249"/>
      <c r="Q40" s="250">
        <f t="shared" si="22"/>
        <v>0</v>
      </c>
      <c r="R40" s="249"/>
      <c r="S40" s="249"/>
      <c r="T40" s="250">
        <f t="shared" si="23"/>
        <v>0</v>
      </c>
      <c r="U40" s="249"/>
      <c r="V40" s="249"/>
      <c r="W40" s="250">
        <f t="shared" si="24"/>
        <v>0</v>
      </c>
      <c r="X40" s="249"/>
      <c r="Y40" s="249"/>
      <c r="Z40" s="250">
        <f t="shared" si="25"/>
        <v>0</v>
      </c>
      <c r="AA40" s="249"/>
      <c r="AB40" s="249"/>
      <c r="AC40" s="250">
        <f t="shared" si="26"/>
        <v>0</v>
      </c>
      <c r="AD40" s="249"/>
      <c r="AE40" s="249"/>
      <c r="AF40" s="250">
        <f t="shared" si="27"/>
        <v>0</v>
      </c>
      <c r="AG40" s="249"/>
      <c r="AH40" s="249"/>
      <c r="AI40" s="250">
        <f t="shared" si="28"/>
        <v>0</v>
      </c>
      <c r="AJ40" s="249"/>
      <c r="AK40" s="249"/>
      <c r="AL40" s="250">
        <f t="shared" si="29"/>
        <v>0</v>
      </c>
      <c r="AM40" s="249"/>
      <c r="AN40" s="249"/>
      <c r="AO40" s="250">
        <f t="shared" si="30"/>
        <v>0</v>
      </c>
      <c r="AP40" s="249"/>
      <c r="AQ40" s="249"/>
      <c r="AR40" s="250">
        <f t="shared" si="31"/>
        <v>0</v>
      </c>
      <c r="AS40" s="249"/>
      <c r="AT40" s="249"/>
      <c r="AU40" s="250">
        <f t="shared" si="32"/>
        <v>0</v>
      </c>
      <c r="AV40" s="249"/>
      <c r="AW40" s="249"/>
      <c r="AX40" s="250">
        <f t="shared" si="33"/>
        <v>0</v>
      </c>
      <c r="AY40" s="249"/>
      <c r="AZ40" s="249"/>
      <c r="BA40" s="250">
        <f t="shared" si="34"/>
        <v>0</v>
      </c>
      <c r="BB40" s="249"/>
      <c r="BC40" s="249"/>
      <c r="BD40" s="250">
        <f t="shared" si="35"/>
        <v>0</v>
      </c>
    </row>
    <row r="41" spans="1:56">
      <c r="A41" s="251"/>
      <c r="B41" s="259" t="s">
        <v>388</v>
      </c>
      <c r="C41" s="249"/>
      <c r="D41" s="249"/>
      <c r="E41" s="508">
        <f t="shared" si="36"/>
        <v>0</v>
      </c>
      <c r="F41" s="249"/>
      <c r="G41" s="249"/>
      <c r="H41" s="437">
        <f t="shared" si="37"/>
        <v>0</v>
      </c>
      <c r="I41" s="249"/>
      <c r="J41" s="249"/>
      <c r="K41" s="437">
        <f t="shared" si="38"/>
        <v>0</v>
      </c>
      <c r="L41" s="249"/>
      <c r="M41" s="249"/>
      <c r="N41" s="250">
        <f t="shared" si="39"/>
        <v>0</v>
      </c>
      <c r="O41" s="249"/>
      <c r="P41" s="249"/>
      <c r="Q41" s="250">
        <f t="shared" si="22"/>
        <v>0</v>
      </c>
      <c r="R41" s="249"/>
      <c r="S41" s="249"/>
      <c r="T41" s="250">
        <f t="shared" si="23"/>
        <v>0</v>
      </c>
      <c r="U41" s="249"/>
      <c r="V41" s="249"/>
      <c r="W41" s="250">
        <f t="shared" si="24"/>
        <v>0</v>
      </c>
      <c r="X41" s="249"/>
      <c r="Y41" s="249"/>
      <c r="Z41" s="250">
        <f t="shared" si="25"/>
        <v>0</v>
      </c>
      <c r="AA41" s="249"/>
      <c r="AB41" s="249"/>
      <c r="AC41" s="250">
        <f t="shared" si="26"/>
        <v>0</v>
      </c>
      <c r="AD41" s="249"/>
      <c r="AE41" s="249"/>
      <c r="AF41" s="250">
        <f t="shared" si="27"/>
        <v>0</v>
      </c>
      <c r="AG41" s="249"/>
      <c r="AH41" s="249"/>
      <c r="AI41" s="250">
        <f t="shared" si="28"/>
        <v>0</v>
      </c>
      <c r="AJ41" s="249"/>
      <c r="AK41" s="249"/>
      <c r="AL41" s="250">
        <f t="shared" si="29"/>
        <v>0</v>
      </c>
      <c r="AM41" s="249"/>
      <c r="AN41" s="249"/>
      <c r="AO41" s="250">
        <f t="shared" si="30"/>
        <v>0</v>
      </c>
      <c r="AP41" s="249"/>
      <c r="AQ41" s="249"/>
      <c r="AR41" s="250">
        <f t="shared" si="31"/>
        <v>0</v>
      </c>
      <c r="AS41" s="249"/>
      <c r="AT41" s="249"/>
      <c r="AU41" s="250">
        <f t="shared" si="32"/>
        <v>0</v>
      </c>
      <c r="AV41" s="249"/>
      <c r="AW41" s="249"/>
      <c r="AX41" s="250">
        <f t="shared" si="33"/>
        <v>0</v>
      </c>
      <c r="AY41" s="249"/>
      <c r="AZ41" s="249"/>
      <c r="BA41" s="250">
        <f t="shared" si="34"/>
        <v>0</v>
      </c>
      <c r="BB41" s="249"/>
      <c r="BC41" s="249"/>
      <c r="BD41" s="250">
        <f t="shared" si="35"/>
        <v>0</v>
      </c>
    </row>
    <row r="42" spans="1:56">
      <c r="A42" s="251"/>
      <c r="B42" s="259" t="s">
        <v>389</v>
      </c>
      <c r="C42" s="249"/>
      <c r="D42" s="249"/>
      <c r="E42" s="508">
        <f t="shared" si="36"/>
        <v>0</v>
      </c>
      <c r="F42" s="249"/>
      <c r="G42" s="249"/>
      <c r="H42" s="437">
        <f t="shared" si="37"/>
        <v>0</v>
      </c>
      <c r="I42" s="249"/>
      <c r="J42" s="249"/>
      <c r="K42" s="437">
        <f t="shared" si="38"/>
        <v>0</v>
      </c>
      <c r="L42" s="249"/>
      <c r="M42" s="249"/>
      <c r="N42" s="250">
        <f t="shared" si="39"/>
        <v>0</v>
      </c>
      <c r="O42" s="249"/>
      <c r="P42" s="249"/>
      <c r="Q42" s="250">
        <f t="shared" si="22"/>
        <v>0</v>
      </c>
      <c r="R42" s="249"/>
      <c r="S42" s="249"/>
      <c r="T42" s="250">
        <f t="shared" si="23"/>
        <v>0</v>
      </c>
      <c r="U42" s="249"/>
      <c r="V42" s="249"/>
      <c r="W42" s="250">
        <f t="shared" si="24"/>
        <v>0</v>
      </c>
      <c r="X42" s="249"/>
      <c r="Y42" s="249"/>
      <c r="Z42" s="250">
        <f t="shared" si="25"/>
        <v>0</v>
      </c>
      <c r="AA42" s="249"/>
      <c r="AB42" s="249"/>
      <c r="AC42" s="250">
        <f t="shared" si="26"/>
        <v>0</v>
      </c>
      <c r="AD42" s="249"/>
      <c r="AE42" s="249"/>
      <c r="AF42" s="250">
        <f t="shared" si="27"/>
        <v>0</v>
      </c>
      <c r="AG42" s="249"/>
      <c r="AH42" s="249"/>
      <c r="AI42" s="250">
        <f t="shared" si="28"/>
        <v>0</v>
      </c>
      <c r="AJ42" s="249"/>
      <c r="AK42" s="249"/>
      <c r="AL42" s="250">
        <f t="shared" si="29"/>
        <v>0</v>
      </c>
      <c r="AM42" s="249"/>
      <c r="AN42" s="249"/>
      <c r="AO42" s="250">
        <f t="shared" si="30"/>
        <v>0</v>
      </c>
      <c r="AP42" s="249"/>
      <c r="AQ42" s="249"/>
      <c r="AR42" s="250">
        <f t="shared" si="31"/>
        <v>0</v>
      </c>
      <c r="AS42" s="249"/>
      <c r="AT42" s="249"/>
      <c r="AU42" s="250">
        <f t="shared" si="32"/>
        <v>0</v>
      </c>
      <c r="AV42" s="249"/>
      <c r="AW42" s="249"/>
      <c r="AX42" s="250">
        <f t="shared" si="33"/>
        <v>0</v>
      </c>
      <c r="AY42" s="249"/>
      <c r="AZ42" s="249"/>
      <c r="BA42" s="250">
        <f t="shared" si="34"/>
        <v>0</v>
      </c>
      <c r="BB42" s="249"/>
      <c r="BC42" s="249"/>
      <c r="BD42" s="250">
        <f t="shared" si="35"/>
        <v>0</v>
      </c>
    </row>
    <row r="43" spans="1:56" s="255" customFormat="1" ht="19.5" customHeight="1">
      <c r="A43" s="252"/>
      <c r="B43" s="427" t="s">
        <v>221</v>
      </c>
      <c r="C43" s="425">
        <v>7563.5</v>
      </c>
      <c r="D43" s="425">
        <v>7983.5</v>
      </c>
      <c r="E43" s="511">
        <f t="shared" si="36"/>
        <v>5.5529847292919943</v>
      </c>
      <c r="F43" s="425">
        <v>17434</v>
      </c>
      <c r="G43" s="425">
        <v>18464</v>
      </c>
      <c r="H43" s="440">
        <f t="shared" si="37"/>
        <v>5.9079958701388096</v>
      </c>
      <c r="I43" s="253"/>
      <c r="J43" s="253"/>
      <c r="K43" s="440">
        <f t="shared" si="38"/>
        <v>0</v>
      </c>
      <c r="L43" s="253"/>
      <c r="M43" s="253"/>
      <c r="N43" s="254">
        <f t="shared" si="39"/>
        <v>0</v>
      </c>
      <c r="O43" s="253"/>
      <c r="P43" s="253"/>
      <c r="Q43" s="254">
        <f t="shared" si="22"/>
        <v>0</v>
      </c>
      <c r="R43" s="253"/>
      <c r="S43" s="253"/>
      <c r="T43" s="254">
        <f t="shared" si="23"/>
        <v>0</v>
      </c>
      <c r="U43" s="253"/>
      <c r="V43" s="253"/>
      <c r="W43" s="254">
        <f t="shared" si="24"/>
        <v>0</v>
      </c>
      <c r="X43" s="253"/>
      <c r="Y43" s="253"/>
      <c r="Z43" s="254">
        <f t="shared" si="25"/>
        <v>0</v>
      </c>
      <c r="AA43" s="253"/>
      <c r="AB43" s="253"/>
      <c r="AC43" s="254">
        <f t="shared" si="26"/>
        <v>0</v>
      </c>
      <c r="AD43" s="253"/>
      <c r="AE43" s="253"/>
      <c r="AF43" s="254">
        <f t="shared" si="27"/>
        <v>0</v>
      </c>
      <c r="AG43" s="253"/>
      <c r="AH43" s="253"/>
      <c r="AI43" s="254">
        <f t="shared" si="28"/>
        <v>0</v>
      </c>
      <c r="AJ43" s="253"/>
      <c r="AK43" s="253"/>
      <c r="AL43" s="254">
        <f t="shared" si="29"/>
        <v>0</v>
      </c>
      <c r="AM43" s="253"/>
      <c r="AN43" s="253"/>
      <c r="AO43" s="254">
        <f t="shared" si="30"/>
        <v>0</v>
      </c>
      <c r="AP43" s="253"/>
      <c r="AQ43" s="253"/>
      <c r="AR43" s="254">
        <f t="shared" si="31"/>
        <v>0</v>
      </c>
      <c r="AS43" s="253"/>
      <c r="AT43" s="253"/>
      <c r="AU43" s="254">
        <f t="shared" si="32"/>
        <v>0</v>
      </c>
      <c r="AV43" s="253"/>
      <c r="AW43" s="253"/>
      <c r="AX43" s="254">
        <f t="shared" si="33"/>
        <v>0</v>
      </c>
      <c r="AY43" s="253"/>
      <c r="AZ43" s="253"/>
      <c r="BA43" s="254">
        <f t="shared" si="34"/>
        <v>0</v>
      </c>
      <c r="BB43" s="253"/>
      <c r="BC43" s="253"/>
      <c r="BD43" s="254">
        <f t="shared" si="35"/>
        <v>0</v>
      </c>
    </row>
    <row r="44" spans="1:56">
      <c r="A44" s="251"/>
      <c r="B44" s="259" t="s">
        <v>390</v>
      </c>
      <c r="C44" s="249"/>
      <c r="D44" s="249"/>
      <c r="E44" s="508">
        <f t="shared" si="36"/>
        <v>0</v>
      </c>
      <c r="F44" s="249"/>
      <c r="G44" s="249"/>
      <c r="H44" s="437">
        <f t="shared" si="37"/>
        <v>0</v>
      </c>
      <c r="I44" s="249"/>
      <c r="J44" s="249"/>
      <c r="K44" s="437">
        <f t="shared" si="38"/>
        <v>0</v>
      </c>
      <c r="L44" s="249"/>
      <c r="M44" s="249"/>
      <c r="N44" s="250">
        <f t="shared" si="39"/>
        <v>0</v>
      </c>
      <c r="O44" s="249"/>
      <c r="P44" s="249"/>
      <c r="Q44" s="250">
        <f t="shared" si="22"/>
        <v>0</v>
      </c>
      <c r="R44" s="249"/>
      <c r="S44" s="249"/>
      <c r="T44" s="250">
        <f t="shared" si="23"/>
        <v>0</v>
      </c>
      <c r="U44" s="249"/>
      <c r="V44" s="249"/>
      <c r="W44" s="250">
        <f t="shared" si="24"/>
        <v>0</v>
      </c>
      <c r="X44" s="249"/>
      <c r="Y44" s="249"/>
      <c r="Z44" s="250">
        <f t="shared" si="25"/>
        <v>0</v>
      </c>
      <c r="AA44" s="249"/>
      <c r="AB44" s="249"/>
      <c r="AC44" s="250">
        <f t="shared" si="26"/>
        <v>0</v>
      </c>
      <c r="AD44" s="249"/>
      <c r="AE44" s="249"/>
      <c r="AF44" s="250">
        <f t="shared" si="27"/>
        <v>0</v>
      </c>
      <c r="AG44" s="249"/>
      <c r="AH44" s="249"/>
      <c r="AI44" s="250">
        <f t="shared" si="28"/>
        <v>0</v>
      </c>
      <c r="AJ44" s="249"/>
      <c r="AK44" s="249"/>
      <c r="AL44" s="250">
        <f t="shared" si="29"/>
        <v>0</v>
      </c>
      <c r="AM44" s="249"/>
      <c r="AN44" s="249"/>
      <c r="AO44" s="250">
        <f t="shared" si="30"/>
        <v>0</v>
      </c>
      <c r="AP44" s="249"/>
      <c r="AQ44" s="249"/>
      <c r="AR44" s="250">
        <f t="shared" si="31"/>
        <v>0</v>
      </c>
      <c r="AS44" s="249"/>
      <c r="AT44" s="249"/>
      <c r="AU44" s="250">
        <f t="shared" si="32"/>
        <v>0</v>
      </c>
      <c r="AV44" s="249"/>
      <c r="AW44" s="249"/>
      <c r="AX44" s="250">
        <f t="shared" si="33"/>
        <v>0</v>
      </c>
      <c r="AY44" s="249"/>
      <c r="AZ44" s="249"/>
      <c r="BA44" s="250">
        <f t="shared" si="34"/>
        <v>0</v>
      </c>
      <c r="BB44" s="249"/>
      <c r="BC44" s="249"/>
      <c r="BD44" s="250">
        <f t="shared" si="35"/>
        <v>0</v>
      </c>
    </row>
    <row r="45" spans="1:56">
      <c r="A45" s="251"/>
      <c r="B45" s="259" t="s">
        <v>391</v>
      </c>
      <c r="C45" s="249"/>
      <c r="D45" s="249"/>
      <c r="E45" s="508">
        <f t="shared" si="36"/>
        <v>0</v>
      </c>
      <c r="F45" s="249"/>
      <c r="G45" s="249"/>
      <c r="H45" s="437">
        <f t="shared" si="37"/>
        <v>0</v>
      </c>
      <c r="I45" s="249"/>
      <c r="J45" s="249"/>
      <c r="K45" s="437">
        <f t="shared" si="38"/>
        <v>0</v>
      </c>
      <c r="L45" s="249"/>
      <c r="M45" s="249"/>
      <c r="N45" s="250">
        <f t="shared" si="39"/>
        <v>0</v>
      </c>
      <c r="O45" s="249"/>
      <c r="P45" s="249"/>
      <c r="Q45" s="250">
        <f t="shared" si="22"/>
        <v>0</v>
      </c>
      <c r="R45" s="249"/>
      <c r="S45" s="249"/>
      <c r="T45" s="250">
        <f t="shared" si="23"/>
        <v>0</v>
      </c>
      <c r="U45" s="249"/>
      <c r="V45" s="249"/>
      <c r="W45" s="250">
        <f t="shared" si="24"/>
        <v>0</v>
      </c>
      <c r="X45" s="249"/>
      <c r="Y45" s="249"/>
      <c r="Z45" s="250">
        <f t="shared" si="25"/>
        <v>0</v>
      </c>
      <c r="AA45" s="249"/>
      <c r="AB45" s="249"/>
      <c r="AC45" s="250">
        <f t="shared" si="26"/>
        <v>0</v>
      </c>
      <c r="AD45" s="249"/>
      <c r="AE45" s="249"/>
      <c r="AF45" s="250">
        <f t="shared" si="27"/>
        <v>0</v>
      </c>
      <c r="AG45" s="249"/>
      <c r="AH45" s="249"/>
      <c r="AI45" s="250">
        <f t="shared" si="28"/>
        <v>0</v>
      </c>
      <c r="AJ45" s="249"/>
      <c r="AK45" s="249"/>
      <c r="AL45" s="250">
        <f t="shared" si="29"/>
        <v>0</v>
      </c>
      <c r="AM45" s="249"/>
      <c r="AN45" s="249"/>
      <c r="AO45" s="250">
        <f t="shared" si="30"/>
        <v>0</v>
      </c>
      <c r="AP45" s="249"/>
      <c r="AQ45" s="249"/>
      <c r="AR45" s="250">
        <f t="shared" si="31"/>
        <v>0</v>
      </c>
      <c r="AS45" s="249"/>
      <c r="AT45" s="249"/>
      <c r="AU45" s="250">
        <f t="shared" si="32"/>
        <v>0</v>
      </c>
      <c r="AV45" s="249"/>
      <c r="AW45" s="249"/>
      <c r="AX45" s="250">
        <f t="shared" si="33"/>
        <v>0</v>
      </c>
      <c r="AY45" s="249"/>
      <c r="AZ45" s="249"/>
      <c r="BA45" s="250">
        <f t="shared" si="34"/>
        <v>0</v>
      </c>
      <c r="BB45" s="249"/>
      <c r="BC45" s="249"/>
      <c r="BD45" s="250">
        <f t="shared" si="35"/>
        <v>0</v>
      </c>
    </row>
    <row r="46" spans="1:56">
      <c r="A46" s="251"/>
      <c r="B46" s="259" t="s">
        <v>392</v>
      </c>
      <c r="C46" s="249">
        <v>2684</v>
      </c>
      <c r="D46" s="249">
        <v>2816</v>
      </c>
      <c r="E46" s="508">
        <f t="shared" si="36"/>
        <v>4.918032786885246</v>
      </c>
      <c r="F46" s="249"/>
      <c r="G46" s="249"/>
      <c r="H46" s="437">
        <f t="shared" si="37"/>
        <v>0</v>
      </c>
      <c r="I46" s="249"/>
      <c r="J46" s="249"/>
      <c r="K46" s="437">
        <f t="shared" si="38"/>
        <v>0</v>
      </c>
      <c r="L46" s="249"/>
      <c r="M46" s="249"/>
      <c r="N46" s="250">
        <f t="shared" si="39"/>
        <v>0</v>
      </c>
      <c r="O46" s="249"/>
      <c r="P46" s="249"/>
      <c r="Q46" s="250">
        <f t="shared" si="22"/>
        <v>0</v>
      </c>
      <c r="R46" s="249"/>
      <c r="S46" s="249"/>
      <c r="T46" s="250">
        <f t="shared" si="23"/>
        <v>0</v>
      </c>
      <c r="U46" s="249"/>
      <c r="V46" s="249"/>
      <c r="W46" s="250">
        <f t="shared" si="24"/>
        <v>0</v>
      </c>
      <c r="X46" s="249"/>
      <c r="Y46" s="249"/>
      <c r="Z46" s="250">
        <f t="shared" si="25"/>
        <v>0</v>
      </c>
      <c r="AA46" s="249"/>
      <c r="AB46" s="249"/>
      <c r="AC46" s="250">
        <f t="shared" si="26"/>
        <v>0</v>
      </c>
      <c r="AD46" s="249"/>
      <c r="AE46" s="249"/>
      <c r="AF46" s="250">
        <f t="shared" si="27"/>
        <v>0</v>
      </c>
      <c r="AG46" s="249"/>
      <c r="AH46" s="249"/>
      <c r="AI46" s="250">
        <f t="shared" si="28"/>
        <v>0</v>
      </c>
      <c r="AJ46" s="249"/>
      <c r="AK46" s="249"/>
      <c r="AL46" s="250">
        <f t="shared" si="29"/>
        <v>0</v>
      </c>
      <c r="AM46" s="249"/>
      <c r="AN46" s="249"/>
      <c r="AO46" s="250">
        <f t="shared" si="30"/>
        <v>0</v>
      </c>
      <c r="AP46" s="249"/>
      <c r="AQ46" s="249"/>
      <c r="AR46" s="250">
        <f t="shared" si="31"/>
        <v>0</v>
      </c>
      <c r="AS46" s="249"/>
      <c r="AT46" s="249"/>
      <c r="AU46" s="250">
        <f t="shared" si="32"/>
        <v>0</v>
      </c>
      <c r="AV46" s="249"/>
      <c r="AW46" s="249"/>
      <c r="AX46" s="250">
        <f t="shared" si="33"/>
        <v>0</v>
      </c>
      <c r="AY46" s="249"/>
      <c r="AZ46" s="249"/>
      <c r="BA46" s="250">
        <f t="shared" si="34"/>
        <v>0</v>
      </c>
      <c r="BB46" s="249"/>
      <c r="BC46" s="249"/>
      <c r="BD46" s="250">
        <f t="shared" si="35"/>
        <v>0</v>
      </c>
    </row>
    <row r="47" spans="1:56">
      <c r="A47" s="251"/>
      <c r="B47" s="259" t="s">
        <v>196</v>
      </c>
      <c r="C47" s="249">
        <v>2684</v>
      </c>
      <c r="D47" s="249">
        <v>2816</v>
      </c>
      <c r="E47" s="508">
        <f t="shared" si="36"/>
        <v>4.918032786885246</v>
      </c>
      <c r="F47" s="249"/>
      <c r="G47" s="249"/>
      <c r="H47" s="437">
        <f t="shared" si="37"/>
        <v>0</v>
      </c>
      <c r="I47" s="249"/>
      <c r="J47" s="249"/>
      <c r="K47" s="437">
        <f t="shared" si="38"/>
        <v>0</v>
      </c>
      <c r="L47" s="249"/>
      <c r="M47" s="249"/>
      <c r="N47" s="250">
        <f t="shared" si="39"/>
        <v>0</v>
      </c>
      <c r="O47" s="249"/>
      <c r="P47" s="249"/>
      <c r="Q47" s="250">
        <f t="shared" si="22"/>
        <v>0</v>
      </c>
      <c r="R47" s="249"/>
      <c r="S47" s="249"/>
      <c r="T47" s="250">
        <f t="shared" si="23"/>
        <v>0</v>
      </c>
      <c r="U47" s="249"/>
      <c r="V47" s="249"/>
      <c r="W47" s="250">
        <f t="shared" si="24"/>
        <v>0</v>
      </c>
      <c r="X47" s="249"/>
      <c r="Y47" s="249"/>
      <c r="Z47" s="250">
        <f t="shared" si="25"/>
        <v>0</v>
      </c>
      <c r="AA47" s="249"/>
      <c r="AB47" s="249"/>
      <c r="AC47" s="250">
        <f t="shared" si="26"/>
        <v>0</v>
      </c>
      <c r="AD47" s="249"/>
      <c r="AE47" s="249"/>
      <c r="AF47" s="250">
        <f t="shared" si="27"/>
        <v>0</v>
      </c>
      <c r="AG47" s="249"/>
      <c r="AH47" s="249"/>
      <c r="AI47" s="250">
        <f t="shared" si="28"/>
        <v>0</v>
      </c>
      <c r="AJ47" s="249"/>
      <c r="AK47" s="249"/>
      <c r="AL47" s="250">
        <f t="shared" si="29"/>
        <v>0</v>
      </c>
      <c r="AM47" s="249"/>
      <c r="AN47" s="249"/>
      <c r="AO47" s="250">
        <f t="shared" si="30"/>
        <v>0</v>
      </c>
      <c r="AP47" s="249"/>
      <c r="AQ47" s="249"/>
      <c r="AR47" s="250">
        <f t="shared" si="31"/>
        <v>0</v>
      </c>
      <c r="AS47" s="249"/>
      <c r="AT47" s="249"/>
      <c r="AU47" s="250">
        <f t="shared" si="32"/>
        <v>0</v>
      </c>
      <c r="AV47" s="249"/>
      <c r="AW47" s="249"/>
      <c r="AX47" s="250">
        <f t="shared" si="33"/>
        <v>0</v>
      </c>
      <c r="AY47" s="249"/>
      <c r="AZ47" s="249"/>
      <c r="BA47" s="250">
        <f t="shared" si="34"/>
        <v>0</v>
      </c>
      <c r="BB47" s="249"/>
      <c r="BC47" s="249"/>
      <c r="BD47" s="250">
        <f t="shared" si="35"/>
        <v>0</v>
      </c>
    </row>
    <row r="48" spans="1:56" s="255" customFormat="1" ht="20.25" customHeight="1">
      <c r="A48" s="252"/>
      <c r="B48" s="427" t="s">
        <v>550</v>
      </c>
      <c r="C48" s="425">
        <v>2684</v>
      </c>
      <c r="D48" s="425">
        <v>2816</v>
      </c>
      <c r="E48" s="511">
        <f t="shared" si="36"/>
        <v>4.918032786885246</v>
      </c>
      <c r="F48" s="253"/>
      <c r="G48" s="253"/>
      <c r="H48" s="440">
        <f t="shared" si="37"/>
        <v>0</v>
      </c>
      <c r="I48" s="253"/>
      <c r="J48" s="253"/>
      <c r="K48" s="440">
        <f t="shared" si="38"/>
        <v>0</v>
      </c>
      <c r="L48" s="253"/>
      <c r="M48" s="253"/>
      <c r="N48" s="254">
        <f t="shared" si="39"/>
        <v>0</v>
      </c>
      <c r="O48" s="253"/>
      <c r="P48" s="253"/>
      <c r="Q48" s="254">
        <f t="shared" si="22"/>
        <v>0</v>
      </c>
      <c r="R48" s="253"/>
      <c r="S48" s="253"/>
      <c r="T48" s="254">
        <f t="shared" si="23"/>
        <v>0</v>
      </c>
      <c r="U48" s="253"/>
      <c r="V48" s="253"/>
      <c r="W48" s="254">
        <f t="shared" si="24"/>
        <v>0</v>
      </c>
      <c r="X48" s="253"/>
      <c r="Y48" s="253"/>
      <c r="Z48" s="254">
        <f t="shared" si="25"/>
        <v>0</v>
      </c>
      <c r="AA48" s="253"/>
      <c r="AB48" s="253"/>
      <c r="AC48" s="254">
        <f t="shared" si="26"/>
        <v>0</v>
      </c>
      <c r="AD48" s="253"/>
      <c r="AE48" s="253"/>
      <c r="AF48" s="254">
        <f t="shared" si="27"/>
        <v>0</v>
      </c>
      <c r="AG48" s="253"/>
      <c r="AH48" s="253"/>
      <c r="AI48" s="254">
        <f t="shared" si="28"/>
        <v>0</v>
      </c>
      <c r="AJ48" s="253"/>
      <c r="AK48" s="253"/>
      <c r="AL48" s="254">
        <f t="shared" si="29"/>
        <v>0</v>
      </c>
      <c r="AM48" s="253"/>
      <c r="AN48" s="253"/>
      <c r="AO48" s="254">
        <f t="shared" si="30"/>
        <v>0</v>
      </c>
      <c r="AP48" s="253"/>
      <c r="AQ48" s="253"/>
      <c r="AR48" s="254">
        <f t="shared" si="31"/>
        <v>0</v>
      </c>
      <c r="AS48" s="253"/>
      <c r="AT48" s="253"/>
      <c r="AU48" s="254">
        <f t="shared" si="32"/>
        <v>0</v>
      </c>
      <c r="AV48" s="253"/>
      <c r="AW48" s="253"/>
      <c r="AX48" s="254">
        <f t="shared" si="33"/>
        <v>0</v>
      </c>
      <c r="AY48" s="253"/>
      <c r="AZ48" s="253"/>
      <c r="BA48" s="254">
        <f t="shared" si="34"/>
        <v>0</v>
      </c>
      <c r="BB48" s="253"/>
      <c r="BC48" s="253"/>
      <c r="BD48" s="254">
        <f t="shared" si="35"/>
        <v>0</v>
      </c>
    </row>
    <row r="49" spans="1:56">
      <c r="A49" s="251"/>
      <c r="B49" s="259" t="s">
        <v>197</v>
      </c>
      <c r="C49" s="249"/>
      <c r="D49" s="249"/>
      <c r="E49" s="508">
        <f t="shared" si="36"/>
        <v>0</v>
      </c>
      <c r="F49" s="249"/>
      <c r="G49" s="249"/>
      <c r="H49" s="437">
        <f t="shared" si="37"/>
        <v>0</v>
      </c>
      <c r="I49" s="249"/>
      <c r="J49" s="249"/>
      <c r="K49" s="437">
        <f t="shared" si="38"/>
        <v>0</v>
      </c>
      <c r="L49" s="249"/>
      <c r="M49" s="249"/>
      <c r="N49" s="250">
        <f t="shared" si="39"/>
        <v>0</v>
      </c>
      <c r="O49" s="249"/>
      <c r="P49" s="249"/>
      <c r="Q49" s="250">
        <f t="shared" si="22"/>
        <v>0</v>
      </c>
      <c r="R49" s="249"/>
      <c r="S49" s="249"/>
      <c r="T49" s="250">
        <f t="shared" si="23"/>
        <v>0</v>
      </c>
      <c r="U49" s="249"/>
      <c r="V49" s="249"/>
      <c r="W49" s="250">
        <f t="shared" si="24"/>
        <v>0</v>
      </c>
      <c r="X49" s="249"/>
      <c r="Y49" s="249"/>
      <c r="Z49" s="250">
        <f t="shared" si="25"/>
        <v>0</v>
      </c>
      <c r="AA49" s="249"/>
      <c r="AB49" s="249"/>
      <c r="AC49" s="250">
        <f t="shared" si="26"/>
        <v>0</v>
      </c>
      <c r="AD49" s="249"/>
      <c r="AE49" s="249"/>
      <c r="AF49" s="250">
        <f t="shared" si="27"/>
        <v>0</v>
      </c>
      <c r="AG49" s="249"/>
      <c r="AH49" s="249"/>
      <c r="AI49" s="250">
        <f t="shared" si="28"/>
        <v>0</v>
      </c>
      <c r="AJ49" s="249"/>
      <c r="AK49" s="249"/>
      <c r="AL49" s="250">
        <f t="shared" si="29"/>
        <v>0</v>
      </c>
      <c r="AM49" s="249"/>
      <c r="AN49" s="249"/>
      <c r="AO49" s="250">
        <f t="shared" si="30"/>
        <v>0</v>
      </c>
      <c r="AP49" s="249"/>
      <c r="AQ49" s="249"/>
      <c r="AR49" s="250">
        <f t="shared" si="31"/>
        <v>0</v>
      </c>
      <c r="AS49" s="249"/>
      <c r="AT49" s="249"/>
      <c r="AU49" s="250">
        <f t="shared" si="32"/>
        <v>0</v>
      </c>
      <c r="AV49" s="249"/>
      <c r="AW49" s="249"/>
      <c r="AX49" s="250">
        <f t="shared" si="33"/>
        <v>0</v>
      </c>
      <c r="AY49" s="249"/>
      <c r="AZ49" s="249"/>
      <c r="BA49" s="250">
        <f t="shared" si="34"/>
        <v>0</v>
      </c>
      <c r="BB49" s="249"/>
      <c r="BC49" s="249"/>
      <c r="BD49" s="250">
        <f t="shared" si="35"/>
        <v>0</v>
      </c>
    </row>
    <row r="50" spans="1:56">
      <c r="A50" s="251"/>
      <c r="B50" s="259" t="s">
        <v>326</v>
      </c>
      <c r="C50" s="249"/>
      <c r="D50" s="249"/>
      <c r="E50" s="508">
        <f t="shared" si="36"/>
        <v>0</v>
      </c>
      <c r="F50" s="249"/>
      <c r="G50" s="249"/>
      <c r="H50" s="437">
        <f t="shared" si="37"/>
        <v>0</v>
      </c>
      <c r="I50" s="249"/>
      <c r="J50" s="249"/>
      <c r="K50" s="437">
        <f t="shared" si="38"/>
        <v>0</v>
      </c>
      <c r="L50" s="249"/>
      <c r="M50" s="249"/>
      <c r="N50" s="250">
        <f t="shared" si="39"/>
        <v>0</v>
      </c>
      <c r="O50" s="249"/>
      <c r="P50" s="249"/>
      <c r="Q50" s="250">
        <f t="shared" si="22"/>
        <v>0</v>
      </c>
      <c r="R50" s="249"/>
      <c r="S50" s="249"/>
      <c r="T50" s="250">
        <f t="shared" si="23"/>
        <v>0</v>
      </c>
      <c r="U50" s="249"/>
      <c r="V50" s="249"/>
      <c r="W50" s="250">
        <f t="shared" si="24"/>
        <v>0</v>
      </c>
      <c r="X50" s="249"/>
      <c r="Y50" s="249"/>
      <c r="Z50" s="250">
        <f t="shared" si="25"/>
        <v>0</v>
      </c>
      <c r="AA50" s="249"/>
      <c r="AB50" s="249"/>
      <c r="AC50" s="250">
        <f t="shared" si="26"/>
        <v>0</v>
      </c>
      <c r="AD50" s="249"/>
      <c r="AE50" s="249"/>
      <c r="AF50" s="250">
        <f t="shared" si="27"/>
        <v>0</v>
      </c>
      <c r="AG50" s="249"/>
      <c r="AH50" s="249"/>
      <c r="AI50" s="250">
        <f t="shared" si="28"/>
        <v>0</v>
      </c>
      <c r="AJ50" s="249"/>
      <c r="AK50" s="249"/>
      <c r="AL50" s="250">
        <f t="shared" si="29"/>
        <v>0</v>
      </c>
      <c r="AM50" s="249"/>
      <c r="AN50" s="249"/>
      <c r="AO50" s="250">
        <f t="shared" si="30"/>
        <v>0</v>
      </c>
      <c r="AP50" s="249"/>
      <c r="AQ50" s="249"/>
      <c r="AR50" s="250">
        <f t="shared" si="31"/>
        <v>0</v>
      </c>
      <c r="AS50" s="249"/>
      <c r="AT50" s="249"/>
      <c r="AU50" s="250">
        <f t="shared" si="32"/>
        <v>0</v>
      </c>
      <c r="AV50" s="249"/>
      <c r="AW50" s="249"/>
      <c r="AX50" s="250">
        <f t="shared" si="33"/>
        <v>0</v>
      </c>
      <c r="AY50" s="249"/>
      <c r="AZ50" s="249"/>
      <c r="BA50" s="250">
        <f t="shared" si="34"/>
        <v>0</v>
      </c>
      <c r="BB50" s="249"/>
      <c r="BC50" s="249"/>
      <c r="BD50" s="250">
        <f t="shared" si="35"/>
        <v>0</v>
      </c>
    </row>
    <row r="51" spans="1:56">
      <c r="A51" s="251"/>
      <c r="B51" s="259" t="s">
        <v>327</v>
      </c>
      <c r="C51" s="249"/>
      <c r="D51" s="249"/>
      <c r="E51" s="508"/>
      <c r="F51" s="249"/>
      <c r="G51" s="249"/>
      <c r="H51" s="437">
        <f t="shared" si="37"/>
        <v>0</v>
      </c>
      <c r="I51" s="249"/>
      <c r="J51" s="249"/>
      <c r="K51" s="437">
        <f t="shared" si="38"/>
        <v>0</v>
      </c>
      <c r="L51" s="249"/>
      <c r="M51" s="249"/>
      <c r="N51" s="250">
        <f t="shared" si="39"/>
        <v>0</v>
      </c>
      <c r="O51" s="249"/>
      <c r="P51" s="249"/>
      <c r="Q51" s="250">
        <f t="shared" si="22"/>
        <v>0</v>
      </c>
      <c r="R51" s="249"/>
      <c r="S51" s="249"/>
      <c r="T51" s="250">
        <f t="shared" si="23"/>
        <v>0</v>
      </c>
      <c r="U51" s="249"/>
      <c r="V51" s="249"/>
      <c r="W51" s="250">
        <f t="shared" si="24"/>
        <v>0</v>
      </c>
      <c r="X51" s="249"/>
      <c r="Y51" s="249"/>
      <c r="Z51" s="250">
        <f t="shared" si="25"/>
        <v>0</v>
      </c>
      <c r="AA51" s="249"/>
      <c r="AB51" s="249"/>
      <c r="AC51" s="250">
        <f t="shared" si="26"/>
        <v>0</v>
      </c>
      <c r="AD51" s="249"/>
      <c r="AE51" s="249"/>
      <c r="AF51" s="250">
        <f t="shared" si="27"/>
        <v>0</v>
      </c>
      <c r="AG51" s="249"/>
      <c r="AH51" s="249"/>
      <c r="AI51" s="250">
        <f t="shared" si="28"/>
        <v>0</v>
      </c>
      <c r="AJ51" s="249"/>
      <c r="AK51" s="249"/>
      <c r="AL51" s="250">
        <f t="shared" si="29"/>
        <v>0</v>
      </c>
      <c r="AM51" s="249"/>
      <c r="AN51" s="249"/>
      <c r="AO51" s="250">
        <f t="shared" si="30"/>
        <v>0</v>
      </c>
      <c r="AP51" s="249"/>
      <c r="AQ51" s="249"/>
      <c r="AR51" s="250">
        <f t="shared" si="31"/>
        <v>0</v>
      </c>
      <c r="AS51" s="249"/>
      <c r="AT51" s="249"/>
      <c r="AU51" s="250">
        <f t="shared" si="32"/>
        <v>0</v>
      </c>
      <c r="AV51" s="249"/>
      <c r="AW51" s="249"/>
      <c r="AX51" s="250">
        <f t="shared" si="33"/>
        <v>0</v>
      </c>
      <c r="AY51" s="249"/>
      <c r="AZ51" s="249"/>
      <c r="BA51" s="250">
        <f t="shared" si="34"/>
        <v>0</v>
      </c>
      <c r="BB51" s="249"/>
      <c r="BC51" s="249"/>
      <c r="BD51" s="250">
        <f t="shared" si="35"/>
        <v>0</v>
      </c>
    </row>
    <row r="52" spans="1:56" s="255" customFormat="1" ht="21.75" customHeight="1">
      <c r="A52" s="252"/>
      <c r="B52" s="427" t="s">
        <v>315</v>
      </c>
      <c r="C52" s="253"/>
      <c r="D52" s="253"/>
      <c r="E52" s="511">
        <f>IF(C52&gt;0,(((D52-C52)/C52)*100),0)</f>
        <v>0</v>
      </c>
      <c r="F52" s="253"/>
      <c r="G52" s="253"/>
      <c r="H52" s="440">
        <f t="shared" si="37"/>
        <v>0</v>
      </c>
      <c r="I52" s="253"/>
      <c r="J52" s="253"/>
      <c r="K52" s="440">
        <f t="shared" si="38"/>
        <v>0</v>
      </c>
      <c r="L52" s="253"/>
      <c r="M52" s="253"/>
      <c r="N52" s="254">
        <f t="shared" si="39"/>
        <v>0</v>
      </c>
      <c r="O52" s="253"/>
      <c r="P52" s="253"/>
      <c r="Q52" s="254">
        <f t="shared" si="22"/>
        <v>0</v>
      </c>
      <c r="R52" s="253"/>
      <c r="S52" s="253"/>
      <c r="T52" s="254">
        <f t="shared" si="23"/>
        <v>0</v>
      </c>
      <c r="U52" s="253"/>
      <c r="V52" s="253"/>
      <c r="W52" s="254">
        <f t="shared" si="24"/>
        <v>0</v>
      </c>
      <c r="X52" s="253"/>
      <c r="Y52" s="253"/>
      <c r="Z52" s="254">
        <f t="shared" si="25"/>
        <v>0</v>
      </c>
      <c r="AA52" s="253"/>
      <c r="AB52" s="253"/>
      <c r="AC52" s="254">
        <f t="shared" si="26"/>
        <v>0</v>
      </c>
      <c r="AD52" s="253"/>
      <c r="AE52" s="253"/>
      <c r="AF52" s="254">
        <f t="shared" si="27"/>
        <v>0</v>
      </c>
      <c r="AG52" s="253"/>
      <c r="AH52" s="253"/>
      <c r="AI52" s="254">
        <f t="shared" si="28"/>
        <v>0</v>
      </c>
      <c r="AJ52" s="253"/>
      <c r="AK52" s="253"/>
      <c r="AL52" s="254">
        <f t="shared" si="29"/>
        <v>0</v>
      </c>
      <c r="AM52" s="253"/>
      <c r="AN52" s="253"/>
      <c r="AO52" s="254">
        <f t="shared" si="30"/>
        <v>0</v>
      </c>
      <c r="AP52" s="253"/>
      <c r="AQ52" s="253"/>
      <c r="AR52" s="254">
        <f t="shared" si="31"/>
        <v>0</v>
      </c>
      <c r="AS52" s="253"/>
      <c r="AT52" s="253"/>
      <c r="AU52" s="254">
        <f t="shared" si="32"/>
        <v>0</v>
      </c>
      <c r="AV52" s="253"/>
      <c r="AW52" s="253"/>
      <c r="AX52" s="254">
        <f t="shared" si="33"/>
        <v>0</v>
      </c>
      <c r="AY52" s="253"/>
      <c r="AZ52" s="253"/>
      <c r="BA52" s="254">
        <f t="shared" si="34"/>
        <v>0</v>
      </c>
      <c r="BB52" s="253"/>
      <c r="BC52" s="253"/>
      <c r="BD52" s="254">
        <f t="shared" si="35"/>
        <v>0</v>
      </c>
    </row>
    <row r="53" spans="1:56">
      <c r="A53" s="256"/>
      <c r="B53" s="428" t="s">
        <v>198</v>
      </c>
      <c r="C53" s="257"/>
      <c r="D53" s="257"/>
      <c r="E53" s="510"/>
      <c r="F53" s="257"/>
      <c r="G53" s="257"/>
      <c r="H53" s="439"/>
      <c r="I53" s="257"/>
      <c r="J53" s="257"/>
      <c r="K53" s="439"/>
      <c r="L53" s="257"/>
      <c r="M53" s="257"/>
      <c r="N53" s="258"/>
      <c r="O53" s="257"/>
      <c r="P53" s="257"/>
      <c r="Q53" s="258">
        <f t="shared" si="22"/>
        <v>0</v>
      </c>
      <c r="R53" s="257"/>
      <c r="S53" s="257"/>
      <c r="T53" s="258">
        <f t="shared" si="23"/>
        <v>0</v>
      </c>
      <c r="U53" s="257"/>
      <c r="V53" s="257"/>
      <c r="W53" s="258">
        <f t="shared" si="24"/>
        <v>0</v>
      </c>
      <c r="X53" s="257"/>
      <c r="Y53" s="257"/>
      <c r="Z53" s="258">
        <f t="shared" si="25"/>
        <v>0</v>
      </c>
      <c r="AA53" s="257"/>
      <c r="AB53" s="257"/>
      <c r="AC53" s="258">
        <f t="shared" si="26"/>
        <v>0</v>
      </c>
      <c r="AD53" s="257"/>
      <c r="AE53" s="257"/>
      <c r="AF53" s="258">
        <f t="shared" si="27"/>
        <v>0</v>
      </c>
      <c r="AG53" s="257"/>
      <c r="AH53" s="257"/>
      <c r="AI53" s="258">
        <f t="shared" si="28"/>
        <v>0</v>
      </c>
      <c r="AJ53" s="257"/>
      <c r="AK53" s="257"/>
      <c r="AL53" s="258">
        <f t="shared" si="29"/>
        <v>0</v>
      </c>
      <c r="AM53" s="257"/>
      <c r="AN53" s="257"/>
      <c r="AO53" s="258">
        <f t="shared" si="30"/>
        <v>0</v>
      </c>
      <c r="AP53" s="257"/>
      <c r="AQ53" s="257"/>
      <c r="AR53" s="258">
        <f t="shared" si="31"/>
        <v>0</v>
      </c>
      <c r="AS53" s="257"/>
      <c r="AT53" s="257"/>
      <c r="AU53" s="258">
        <f t="shared" si="32"/>
        <v>0</v>
      </c>
      <c r="AV53" s="257"/>
      <c r="AW53" s="257"/>
      <c r="AX53" s="258">
        <f t="shared" si="33"/>
        <v>0</v>
      </c>
      <c r="AY53" s="257"/>
      <c r="AZ53" s="257"/>
      <c r="BA53" s="258">
        <f t="shared" si="34"/>
        <v>0</v>
      </c>
      <c r="BB53" s="257"/>
      <c r="BC53" s="257"/>
      <c r="BD53" s="258">
        <f t="shared" si="35"/>
        <v>0</v>
      </c>
    </row>
    <row r="54" spans="1:56">
      <c r="A54" s="247" t="s">
        <v>639</v>
      </c>
      <c r="B54" s="259" t="s">
        <v>384</v>
      </c>
      <c r="C54" s="249">
        <v>3987.3430000000003</v>
      </c>
      <c r="D54" s="249">
        <v>4566.1099999999997</v>
      </c>
      <c r="E54" s="508">
        <f t="shared" ref="E54:E67" si="40">IF(C54&gt;0,(((D54-C54)/C54)*100),0)</f>
        <v>14.515104419158305</v>
      </c>
      <c r="F54" s="249">
        <v>18432</v>
      </c>
      <c r="G54" s="249">
        <v>19010.5</v>
      </c>
      <c r="H54" s="437">
        <f t="shared" ref="H54:H69" si="41">IF(F54&gt;0,(((G54-F54)/F54)*100),0)</f>
        <v>3.1385633680555554</v>
      </c>
      <c r="I54" s="249">
        <v>7072</v>
      </c>
      <c r="J54" s="249">
        <v>8143.04</v>
      </c>
      <c r="K54" s="437">
        <f t="shared" ref="K54:K69" si="42">IF(I54&gt;0,(((J54-I54)/I54)*100),0)</f>
        <v>15.144796380090497</v>
      </c>
      <c r="L54" s="249">
        <v>21932</v>
      </c>
      <c r="M54" s="249">
        <v>23044.720000000001</v>
      </c>
      <c r="N54" s="250">
        <f t="shared" ref="N54:N69" si="43">IF(L54&gt;0,(((M54-L54)/L54)*100),0)</f>
        <v>5.073499908809052</v>
      </c>
      <c r="O54" s="249"/>
      <c r="P54" s="249"/>
      <c r="Q54" s="250">
        <f t="shared" si="22"/>
        <v>0</v>
      </c>
      <c r="R54" s="249"/>
      <c r="S54" s="249"/>
      <c r="T54" s="250">
        <f t="shared" si="23"/>
        <v>0</v>
      </c>
      <c r="U54" s="249"/>
      <c r="V54" s="249"/>
      <c r="W54" s="250">
        <f t="shared" si="24"/>
        <v>0</v>
      </c>
      <c r="X54" s="249"/>
      <c r="Y54" s="249"/>
      <c r="Z54" s="250">
        <f t="shared" si="25"/>
        <v>0</v>
      </c>
      <c r="AA54" s="249"/>
      <c r="AB54" s="249"/>
      <c r="AC54" s="250">
        <f t="shared" si="26"/>
        <v>0</v>
      </c>
      <c r="AD54" s="249"/>
      <c r="AE54" s="249"/>
      <c r="AF54" s="250">
        <f t="shared" si="27"/>
        <v>0</v>
      </c>
      <c r="AG54" s="249"/>
      <c r="AH54" s="249"/>
      <c r="AI54" s="250">
        <f t="shared" si="28"/>
        <v>0</v>
      </c>
      <c r="AJ54" s="249"/>
      <c r="AK54" s="249"/>
      <c r="AL54" s="250">
        <f t="shared" si="29"/>
        <v>0</v>
      </c>
      <c r="AM54" s="249"/>
      <c r="AN54" s="249"/>
      <c r="AO54" s="250">
        <f t="shared" si="30"/>
        <v>0</v>
      </c>
      <c r="AP54" s="249"/>
      <c r="AQ54" s="249"/>
      <c r="AR54" s="250">
        <f t="shared" si="31"/>
        <v>0</v>
      </c>
      <c r="AS54" s="249"/>
      <c r="AT54" s="249"/>
      <c r="AU54" s="250">
        <f t="shared" si="32"/>
        <v>0</v>
      </c>
      <c r="AV54" s="249"/>
      <c r="AW54" s="249"/>
      <c r="AX54" s="250">
        <f t="shared" si="33"/>
        <v>0</v>
      </c>
      <c r="AY54" s="249"/>
      <c r="AZ54" s="249"/>
      <c r="BA54" s="250">
        <f t="shared" si="34"/>
        <v>0</v>
      </c>
      <c r="BB54" s="249"/>
      <c r="BC54" s="249"/>
      <c r="BD54" s="250">
        <f t="shared" si="35"/>
        <v>0</v>
      </c>
    </row>
    <row r="55" spans="1:56">
      <c r="A55" s="251"/>
      <c r="B55" s="259" t="s">
        <v>385</v>
      </c>
      <c r="C55" s="249">
        <v>3781.7429999999999</v>
      </c>
      <c r="D55" s="249">
        <v>4311.3100000000004</v>
      </c>
      <c r="E55" s="508">
        <f t="shared" si="40"/>
        <v>14.003251939647948</v>
      </c>
      <c r="F55" s="249">
        <v>17508.599999999999</v>
      </c>
      <c r="G55" s="249">
        <v>17829.3</v>
      </c>
      <c r="H55" s="437">
        <f t="shared" si="41"/>
        <v>1.8316712929646046</v>
      </c>
      <c r="I55" s="249">
        <v>6610</v>
      </c>
      <c r="J55" s="249">
        <v>7264.32</v>
      </c>
      <c r="K55" s="437">
        <f t="shared" si="42"/>
        <v>9.8989409984871362</v>
      </c>
      <c r="L55" s="249">
        <v>22101</v>
      </c>
      <c r="M55" s="249">
        <v>22305.599999999999</v>
      </c>
      <c r="N55" s="250">
        <f t="shared" si="43"/>
        <v>0.92574996606487736</v>
      </c>
      <c r="O55" s="249"/>
      <c r="P55" s="249"/>
      <c r="Q55" s="250">
        <f t="shared" si="22"/>
        <v>0</v>
      </c>
      <c r="R55" s="249"/>
      <c r="S55" s="249"/>
      <c r="T55" s="250">
        <f t="shared" si="23"/>
        <v>0</v>
      </c>
      <c r="U55" s="249"/>
      <c r="V55" s="249"/>
      <c r="W55" s="250">
        <f t="shared" si="24"/>
        <v>0</v>
      </c>
      <c r="X55" s="249"/>
      <c r="Y55" s="249"/>
      <c r="Z55" s="250">
        <f t="shared" si="25"/>
        <v>0</v>
      </c>
      <c r="AA55" s="249"/>
      <c r="AB55" s="249"/>
      <c r="AC55" s="250">
        <f t="shared" si="26"/>
        <v>0</v>
      </c>
      <c r="AD55" s="249"/>
      <c r="AE55" s="249"/>
      <c r="AF55" s="250">
        <f t="shared" si="27"/>
        <v>0</v>
      </c>
      <c r="AG55" s="249"/>
      <c r="AH55" s="249"/>
      <c r="AI55" s="250">
        <f t="shared" si="28"/>
        <v>0</v>
      </c>
      <c r="AJ55" s="249"/>
      <c r="AK55" s="249"/>
      <c r="AL55" s="250">
        <f t="shared" si="29"/>
        <v>0</v>
      </c>
      <c r="AM55" s="249"/>
      <c r="AN55" s="249"/>
      <c r="AO55" s="250">
        <f t="shared" si="30"/>
        <v>0</v>
      </c>
      <c r="AP55" s="249"/>
      <c r="AQ55" s="249"/>
      <c r="AR55" s="250">
        <f t="shared" si="31"/>
        <v>0</v>
      </c>
      <c r="AS55" s="249"/>
      <c r="AT55" s="249"/>
      <c r="AU55" s="250">
        <f t="shared" si="32"/>
        <v>0</v>
      </c>
      <c r="AV55" s="249"/>
      <c r="AW55" s="249"/>
      <c r="AX55" s="250">
        <f t="shared" si="33"/>
        <v>0</v>
      </c>
      <c r="AY55" s="249"/>
      <c r="AZ55" s="249"/>
      <c r="BA55" s="250">
        <f t="shared" si="34"/>
        <v>0</v>
      </c>
      <c r="BB55" s="249"/>
      <c r="BC55" s="249"/>
      <c r="BD55" s="250">
        <f t="shared" si="35"/>
        <v>0</v>
      </c>
    </row>
    <row r="56" spans="1:56">
      <c r="A56" s="251"/>
      <c r="B56" s="259" t="s">
        <v>386</v>
      </c>
      <c r="C56" s="249">
        <v>3655.143</v>
      </c>
      <c r="D56" s="249">
        <v>4193.41</v>
      </c>
      <c r="E56" s="508">
        <f t="shared" si="40"/>
        <v>14.726291146474976</v>
      </c>
      <c r="F56" s="249">
        <v>15512.4</v>
      </c>
      <c r="G56" s="249">
        <v>17091.900000000001</v>
      </c>
      <c r="H56" s="437">
        <f t="shared" si="41"/>
        <v>10.182176839173835</v>
      </c>
      <c r="I56" s="249">
        <v>6088</v>
      </c>
      <c r="J56" s="249">
        <v>6771.6</v>
      </c>
      <c r="K56" s="437">
        <f t="shared" si="42"/>
        <v>11.228646517739822</v>
      </c>
      <c r="L56" s="249">
        <v>20927</v>
      </c>
      <c r="M56" s="249">
        <v>22166.639999999999</v>
      </c>
      <c r="N56" s="250">
        <f t="shared" si="43"/>
        <v>5.9236393176279423</v>
      </c>
      <c r="O56" s="249"/>
      <c r="P56" s="249"/>
      <c r="Q56" s="250">
        <f t="shared" si="22"/>
        <v>0</v>
      </c>
      <c r="R56" s="249"/>
      <c r="S56" s="249"/>
      <c r="T56" s="250">
        <f t="shared" si="23"/>
        <v>0</v>
      </c>
      <c r="U56" s="249"/>
      <c r="V56" s="249"/>
      <c r="W56" s="250">
        <f t="shared" si="24"/>
        <v>0</v>
      </c>
      <c r="X56" s="249"/>
      <c r="Y56" s="249"/>
      <c r="Z56" s="250">
        <f t="shared" si="25"/>
        <v>0</v>
      </c>
      <c r="AA56" s="249"/>
      <c r="AB56" s="249"/>
      <c r="AC56" s="250">
        <f t="shared" si="26"/>
        <v>0</v>
      </c>
      <c r="AD56" s="249"/>
      <c r="AE56" s="249"/>
      <c r="AF56" s="250">
        <f t="shared" si="27"/>
        <v>0</v>
      </c>
      <c r="AG56" s="249"/>
      <c r="AH56" s="249"/>
      <c r="AI56" s="250">
        <f t="shared" si="28"/>
        <v>0</v>
      </c>
      <c r="AJ56" s="249"/>
      <c r="AK56" s="249"/>
      <c r="AL56" s="250">
        <f t="shared" si="29"/>
        <v>0</v>
      </c>
      <c r="AM56" s="249"/>
      <c r="AN56" s="249"/>
      <c r="AO56" s="250">
        <f t="shared" si="30"/>
        <v>0</v>
      </c>
      <c r="AP56" s="249"/>
      <c r="AQ56" s="249"/>
      <c r="AR56" s="250">
        <f t="shared" si="31"/>
        <v>0</v>
      </c>
      <c r="AS56" s="249"/>
      <c r="AT56" s="249"/>
      <c r="AU56" s="250">
        <f t="shared" si="32"/>
        <v>0</v>
      </c>
      <c r="AV56" s="249"/>
      <c r="AW56" s="249"/>
      <c r="AX56" s="250">
        <f t="shared" si="33"/>
        <v>0</v>
      </c>
      <c r="AY56" s="249"/>
      <c r="AZ56" s="249"/>
      <c r="BA56" s="250">
        <f t="shared" si="34"/>
        <v>0</v>
      </c>
      <c r="BB56" s="249"/>
      <c r="BC56" s="249"/>
      <c r="BD56" s="250">
        <f t="shared" si="35"/>
        <v>0</v>
      </c>
    </row>
    <row r="57" spans="1:56">
      <c r="A57" s="251"/>
      <c r="B57" s="259" t="s">
        <v>387</v>
      </c>
      <c r="C57" s="249">
        <v>3968.6430000000005</v>
      </c>
      <c r="D57" s="249">
        <v>4426.51</v>
      </c>
      <c r="E57" s="508">
        <f t="shared" si="40"/>
        <v>11.537117347163745</v>
      </c>
      <c r="F57" s="249">
        <v>17237.400000000001</v>
      </c>
      <c r="G57" s="249">
        <v>19686</v>
      </c>
      <c r="H57" s="437">
        <f t="shared" si="41"/>
        <v>14.205158550593467</v>
      </c>
      <c r="I57" s="249">
        <v>6163</v>
      </c>
      <c r="J57" s="249">
        <v>7261.44</v>
      </c>
      <c r="K57" s="437">
        <f t="shared" si="42"/>
        <v>17.823138082102865</v>
      </c>
      <c r="L57" s="249">
        <v>22755</v>
      </c>
      <c r="M57" s="249">
        <v>26341.68</v>
      </c>
      <c r="N57" s="250">
        <f t="shared" si="43"/>
        <v>15.762162162162163</v>
      </c>
      <c r="O57" s="249"/>
      <c r="P57" s="249"/>
      <c r="Q57" s="250">
        <f t="shared" si="22"/>
        <v>0</v>
      </c>
      <c r="R57" s="249"/>
      <c r="S57" s="249"/>
      <c r="T57" s="250">
        <f t="shared" si="23"/>
        <v>0</v>
      </c>
      <c r="U57" s="249"/>
      <c r="V57" s="249"/>
      <c r="W57" s="250">
        <f t="shared" si="24"/>
        <v>0</v>
      </c>
      <c r="X57" s="249"/>
      <c r="Y57" s="249"/>
      <c r="Z57" s="250">
        <f t="shared" si="25"/>
        <v>0</v>
      </c>
      <c r="AA57" s="249"/>
      <c r="AB57" s="249"/>
      <c r="AC57" s="250">
        <f t="shared" si="26"/>
        <v>0</v>
      </c>
      <c r="AD57" s="249"/>
      <c r="AE57" s="249"/>
      <c r="AF57" s="250">
        <f t="shared" si="27"/>
        <v>0</v>
      </c>
      <c r="AG57" s="249"/>
      <c r="AH57" s="249"/>
      <c r="AI57" s="250">
        <f t="shared" si="28"/>
        <v>0</v>
      </c>
      <c r="AJ57" s="249"/>
      <c r="AK57" s="249"/>
      <c r="AL57" s="250">
        <f t="shared" si="29"/>
        <v>0</v>
      </c>
      <c r="AM57" s="249"/>
      <c r="AN57" s="249"/>
      <c r="AO57" s="250">
        <f t="shared" si="30"/>
        <v>0</v>
      </c>
      <c r="AP57" s="249"/>
      <c r="AQ57" s="249"/>
      <c r="AR57" s="250">
        <f t="shared" si="31"/>
        <v>0</v>
      </c>
      <c r="AS57" s="249"/>
      <c r="AT57" s="249"/>
      <c r="AU57" s="250">
        <f t="shared" si="32"/>
        <v>0</v>
      </c>
      <c r="AV57" s="249"/>
      <c r="AW57" s="249"/>
      <c r="AX57" s="250">
        <f t="shared" si="33"/>
        <v>0</v>
      </c>
      <c r="AY57" s="249"/>
      <c r="AZ57" s="249"/>
      <c r="BA57" s="250">
        <f t="shared" si="34"/>
        <v>0</v>
      </c>
      <c r="BB57" s="249"/>
      <c r="BC57" s="249"/>
      <c r="BD57" s="250">
        <f t="shared" si="35"/>
        <v>0</v>
      </c>
    </row>
    <row r="58" spans="1:56">
      <c r="A58" s="251"/>
      <c r="B58" s="259" t="s">
        <v>388</v>
      </c>
      <c r="C58" s="249"/>
      <c r="D58" s="249"/>
      <c r="E58" s="508">
        <f t="shared" si="40"/>
        <v>0</v>
      </c>
      <c r="F58" s="249"/>
      <c r="G58" s="249"/>
      <c r="H58" s="437">
        <f t="shared" si="41"/>
        <v>0</v>
      </c>
      <c r="I58" s="249"/>
      <c r="J58" s="249"/>
      <c r="K58" s="437">
        <f t="shared" si="42"/>
        <v>0</v>
      </c>
      <c r="L58" s="249"/>
      <c r="M58" s="249"/>
      <c r="N58" s="250">
        <f t="shared" si="43"/>
        <v>0</v>
      </c>
      <c r="O58" s="249"/>
      <c r="P58" s="249"/>
      <c r="Q58" s="250">
        <f t="shared" si="22"/>
        <v>0</v>
      </c>
      <c r="R58" s="249"/>
      <c r="S58" s="249"/>
      <c r="T58" s="250">
        <f t="shared" si="23"/>
        <v>0</v>
      </c>
      <c r="U58" s="249"/>
      <c r="V58" s="249"/>
      <c r="W58" s="250">
        <f t="shared" si="24"/>
        <v>0</v>
      </c>
      <c r="X58" s="249"/>
      <c r="Y58" s="249"/>
      <c r="Z58" s="250">
        <f t="shared" si="25"/>
        <v>0</v>
      </c>
      <c r="AA58" s="249"/>
      <c r="AB58" s="249"/>
      <c r="AC58" s="250">
        <f t="shared" si="26"/>
        <v>0</v>
      </c>
      <c r="AD58" s="249"/>
      <c r="AE58" s="249"/>
      <c r="AF58" s="250">
        <f t="shared" si="27"/>
        <v>0</v>
      </c>
      <c r="AG58" s="249"/>
      <c r="AH58" s="249"/>
      <c r="AI58" s="250">
        <f t="shared" si="28"/>
        <v>0</v>
      </c>
      <c r="AJ58" s="249"/>
      <c r="AK58" s="249"/>
      <c r="AL58" s="250">
        <f t="shared" si="29"/>
        <v>0</v>
      </c>
      <c r="AM58" s="249"/>
      <c r="AN58" s="249"/>
      <c r="AO58" s="250">
        <f t="shared" si="30"/>
        <v>0</v>
      </c>
      <c r="AP58" s="249"/>
      <c r="AQ58" s="249"/>
      <c r="AR58" s="250">
        <f t="shared" si="31"/>
        <v>0</v>
      </c>
      <c r="AS58" s="249"/>
      <c r="AT58" s="249"/>
      <c r="AU58" s="250">
        <f t="shared" si="32"/>
        <v>0</v>
      </c>
      <c r="AV58" s="249"/>
      <c r="AW58" s="249"/>
      <c r="AX58" s="250">
        <f t="shared" si="33"/>
        <v>0</v>
      </c>
      <c r="AY58" s="249"/>
      <c r="AZ58" s="249"/>
      <c r="BA58" s="250">
        <f t="shared" si="34"/>
        <v>0</v>
      </c>
      <c r="BB58" s="249"/>
      <c r="BC58" s="249"/>
      <c r="BD58" s="250">
        <f t="shared" si="35"/>
        <v>0</v>
      </c>
    </row>
    <row r="59" spans="1:56">
      <c r="A59" s="251"/>
      <c r="B59" s="259" t="s">
        <v>389</v>
      </c>
      <c r="C59" s="249">
        <v>3439.4430000000002</v>
      </c>
      <c r="D59" s="249">
        <v>3986.41</v>
      </c>
      <c r="E59" s="508">
        <f t="shared" si="40"/>
        <v>15.902778444067822</v>
      </c>
      <c r="F59" s="249">
        <v>19804.8</v>
      </c>
      <c r="G59" s="249">
        <v>21988.2</v>
      </c>
      <c r="H59" s="437">
        <f t="shared" si="41"/>
        <v>11.024600096946202</v>
      </c>
      <c r="I59" s="249"/>
      <c r="J59" s="249"/>
      <c r="K59" s="437">
        <f t="shared" si="42"/>
        <v>0</v>
      </c>
      <c r="L59" s="249"/>
      <c r="M59" s="249"/>
      <c r="N59" s="250">
        <f t="shared" si="43"/>
        <v>0</v>
      </c>
      <c r="O59" s="249"/>
      <c r="P59" s="249"/>
      <c r="Q59" s="250">
        <f t="shared" si="22"/>
        <v>0</v>
      </c>
      <c r="R59" s="249"/>
      <c r="S59" s="249"/>
      <c r="T59" s="250">
        <f t="shared" si="23"/>
        <v>0</v>
      </c>
      <c r="U59" s="249"/>
      <c r="V59" s="249"/>
      <c r="W59" s="250">
        <f t="shared" si="24"/>
        <v>0</v>
      </c>
      <c r="X59" s="249"/>
      <c r="Y59" s="249"/>
      <c r="Z59" s="250">
        <f t="shared" si="25"/>
        <v>0</v>
      </c>
      <c r="AA59" s="249"/>
      <c r="AB59" s="249"/>
      <c r="AC59" s="250">
        <f t="shared" si="26"/>
        <v>0</v>
      </c>
      <c r="AD59" s="249"/>
      <c r="AE59" s="249"/>
      <c r="AF59" s="250">
        <f t="shared" si="27"/>
        <v>0</v>
      </c>
      <c r="AG59" s="249"/>
      <c r="AH59" s="249"/>
      <c r="AI59" s="250">
        <f t="shared" si="28"/>
        <v>0</v>
      </c>
      <c r="AJ59" s="249"/>
      <c r="AK59" s="249"/>
      <c r="AL59" s="250">
        <f t="shared" si="29"/>
        <v>0</v>
      </c>
      <c r="AM59" s="249"/>
      <c r="AN59" s="249"/>
      <c r="AO59" s="250">
        <f t="shared" si="30"/>
        <v>0</v>
      </c>
      <c r="AP59" s="249"/>
      <c r="AQ59" s="249"/>
      <c r="AR59" s="250">
        <f t="shared" si="31"/>
        <v>0</v>
      </c>
      <c r="AS59" s="249"/>
      <c r="AT59" s="249"/>
      <c r="AU59" s="250">
        <f t="shared" si="32"/>
        <v>0</v>
      </c>
      <c r="AV59" s="249"/>
      <c r="AW59" s="249"/>
      <c r="AX59" s="250">
        <f t="shared" si="33"/>
        <v>0</v>
      </c>
      <c r="AY59" s="249"/>
      <c r="AZ59" s="249"/>
      <c r="BA59" s="250">
        <f t="shared" si="34"/>
        <v>0</v>
      </c>
      <c r="BB59" s="249"/>
      <c r="BC59" s="249"/>
      <c r="BD59" s="250">
        <f t="shared" si="35"/>
        <v>0</v>
      </c>
    </row>
    <row r="60" spans="1:56" s="255" customFormat="1" ht="19.5" customHeight="1">
      <c r="A60" s="252"/>
      <c r="B60" s="431" t="s">
        <v>221</v>
      </c>
      <c r="C60" s="425">
        <v>3781.7429999999999</v>
      </c>
      <c r="D60" s="425">
        <v>4372.8100000000004</v>
      </c>
      <c r="E60" s="509">
        <f t="shared" si="40"/>
        <v>15.629486191949068</v>
      </c>
      <c r="F60" s="425">
        <v>17237.400000000001</v>
      </c>
      <c r="G60" s="425">
        <v>17829.3</v>
      </c>
      <c r="H60" s="438">
        <f t="shared" si="41"/>
        <v>3.4338125239305102</v>
      </c>
      <c r="I60" s="425">
        <v>6756.5</v>
      </c>
      <c r="J60" s="425">
        <v>7545.72</v>
      </c>
      <c r="K60" s="438">
        <f t="shared" si="42"/>
        <v>11.680899874195223</v>
      </c>
      <c r="L60" s="425">
        <v>21925.5</v>
      </c>
      <c r="M60" s="425">
        <v>22675.16</v>
      </c>
      <c r="N60" s="421">
        <f t="shared" si="43"/>
        <v>3.419123851223461</v>
      </c>
      <c r="O60" s="425"/>
      <c r="P60" s="425"/>
      <c r="Q60" s="421">
        <f t="shared" si="22"/>
        <v>0</v>
      </c>
      <c r="R60" s="425"/>
      <c r="S60" s="425"/>
      <c r="T60" s="421">
        <f t="shared" si="23"/>
        <v>0</v>
      </c>
      <c r="U60" s="425"/>
      <c r="V60" s="425"/>
      <c r="W60" s="421">
        <f t="shared" si="24"/>
        <v>0</v>
      </c>
      <c r="X60" s="425"/>
      <c r="Y60" s="425"/>
      <c r="Z60" s="421">
        <f t="shared" si="25"/>
        <v>0</v>
      </c>
      <c r="AA60" s="425"/>
      <c r="AB60" s="425"/>
      <c r="AC60" s="421">
        <f t="shared" si="26"/>
        <v>0</v>
      </c>
      <c r="AD60" s="425"/>
      <c r="AE60" s="425"/>
      <c r="AF60" s="421">
        <f t="shared" si="27"/>
        <v>0</v>
      </c>
      <c r="AG60" s="425"/>
      <c r="AH60" s="425"/>
      <c r="AI60" s="421">
        <f t="shared" si="28"/>
        <v>0</v>
      </c>
      <c r="AJ60" s="425"/>
      <c r="AK60" s="425"/>
      <c r="AL60" s="421">
        <f t="shared" si="29"/>
        <v>0</v>
      </c>
      <c r="AM60" s="425"/>
      <c r="AN60" s="425"/>
      <c r="AO60" s="421">
        <f t="shared" si="30"/>
        <v>0</v>
      </c>
      <c r="AP60" s="425"/>
      <c r="AQ60" s="425"/>
      <c r="AR60" s="421">
        <f t="shared" si="31"/>
        <v>0</v>
      </c>
      <c r="AS60" s="425"/>
      <c r="AT60" s="425"/>
      <c r="AU60" s="421">
        <f t="shared" si="32"/>
        <v>0</v>
      </c>
      <c r="AV60" s="425"/>
      <c r="AW60" s="425"/>
      <c r="AX60" s="421">
        <f t="shared" si="33"/>
        <v>0</v>
      </c>
      <c r="AY60" s="425"/>
      <c r="AZ60" s="425"/>
      <c r="BA60" s="421">
        <f t="shared" si="34"/>
        <v>0</v>
      </c>
      <c r="BB60" s="425"/>
      <c r="BC60" s="425"/>
      <c r="BD60" s="421">
        <f t="shared" si="35"/>
        <v>0</v>
      </c>
    </row>
    <row r="61" spans="1:56">
      <c r="A61" s="251"/>
      <c r="B61" s="259" t="s">
        <v>390</v>
      </c>
      <c r="C61" s="249">
        <v>2326.1999999999998</v>
      </c>
      <c r="D61" s="249">
        <v>2585.6999999999998</v>
      </c>
      <c r="E61" s="508">
        <f t="shared" si="40"/>
        <v>11.155532628320868</v>
      </c>
      <c r="F61" s="249">
        <v>8411.7000000000007</v>
      </c>
      <c r="G61" s="249">
        <v>9377.4</v>
      </c>
      <c r="H61" s="437">
        <f t="shared" si="41"/>
        <v>11.480437961410878</v>
      </c>
      <c r="I61" s="249"/>
      <c r="J61" s="249"/>
      <c r="K61" s="437">
        <f t="shared" si="42"/>
        <v>0</v>
      </c>
      <c r="L61" s="249"/>
      <c r="M61" s="249"/>
      <c r="N61" s="250">
        <f t="shared" si="43"/>
        <v>0</v>
      </c>
      <c r="O61" s="249"/>
      <c r="P61" s="249"/>
      <c r="Q61" s="250">
        <f t="shared" si="22"/>
        <v>0</v>
      </c>
      <c r="R61" s="249"/>
      <c r="S61" s="249"/>
      <c r="T61" s="250">
        <f t="shared" si="23"/>
        <v>0</v>
      </c>
      <c r="U61" s="249"/>
      <c r="V61" s="249"/>
      <c r="W61" s="250">
        <f t="shared" si="24"/>
        <v>0</v>
      </c>
      <c r="X61" s="249"/>
      <c r="Y61" s="249"/>
      <c r="Z61" s="250">
        <f t="shared" si="25"/>
        <v>0</v>
      </c>
      <c r="AA61" s="249"/>
      <c r="AB61" s="249"/>
      <c r="AC61" s="250">
        <f t="shared" si="26"/>
        <v>0</v>
      </c>
      <c r="AD61" s="249"/>
      <c r="AE61" s="249"/>
      <c r="AF61" s="250">
        <f t="shared" si="27"/>
        <v>0</v>
      </c>
      <c r="AG61" s="249"/>
      <c r="AH61" s="249"/>
      <c r="AI61" s="250">
        <f t="shared" si="28"/>
        <v>0</v>
      </c>
      <c r="AJ61" s="249"/>
      <c r="AK61" s="249"/>
      <c r="AL61" s="250">
        <f t="shared" si="29"/>
        <v>0</v>
      </c>
      <c r="AM61" s="249"/>
      <c r="AN61" s="249"/>
      <c r="AO61" s="250">
        <f t="shared" si="30"/>
        <v>0</v>
      </c>
      <c r="AP61" s="249"/>
      <c r="AQ61" s="249"/>
      <c r="AR61" s="250">
        <f t="shared" si="31"/>
        <v>0</v>
      </c>
      <c r="AS61" s="249"/>
      <c r="AT61" s="249"/>
      <c r="AU61" s="250">
        <f t="shared" si="32"/>
        <v>0</v>
      </c>
      <c r="AV61" s="249"/>
      <c r="AW61" s="249"/>
      <c r="AX61" s="250">
        <f t="shared" si="33"/>
        <v>0</v>
      </c>
      <c r="AY61" s="249"/>
      <c r="AZ61" s="249"/>
      <c r="BA61" s="250">
        <f t="shared" si="34"/>
        <v>0</v>
      </c>
      <c r="BB61" s="249"/>
      <c r="BC61" s="249"/>
      <c r="BD61" s="250">
        <f t="shared" si="35"/>
        <v>0</v>
      </c>
    </row>
    <row r="62" spans="1:56">
      <c r="A62" s="251"/>
      <c r="B62" s="259" t="s">
        <v>391</v>
      </c>
      <c r="C62" s="249">
        <v>2245.1999999999998</v>
      </c>
      <c r="D62" s="249">
        <v>2542.8000000000002</v>
      </c>
      <c r="E62" s="508">
        <f t="shared" si="40"/>
        <v>13.254943880277944</v>
      </c>
      <c r="F62" s="249">
        <v>8431.5</v>
      </c>
      <c r="G62" s="249">
        <v>9550.5</v>
      </c>
      <c r="H62" s="437">
        <f t="shared" si="41"/>
        <v>13.271659847002311</v>
      </c>
      <c r="I62" s="249"/>
      <c r="J62" s="249"/>
      <c r="K62" s="437">
        <f t="shared" si="42"/>
        <v>0</v>
      </c>
      <c r="L62" s="249"/>
      <c r="M62" s="249"/>
      <c r="N62" s="250">
        <f t="shared" si="43"/>
        <v>0</v>
      </c>
      <c r="O62" s="249"/>
      <c r="P62" s="249"/>
      <c r="Q62" s="250">
        <f t="shared" si="22"/>
        <v>0</v>
      </c>
      <c r="R62" s="249"/>
      <c r="S62" s="249"/>
      <c r="T62" s="250">
        <f t="shared" si="23"/>
        <v>0</v>
      </c>
      <c r="U62" s="249"/>
      <c r="V62" s="249"/>
      <c r="W62" s="250">
        <f t="shared" si="24"/>
        <v>0</v>
      </c>
      <c r="X62" s="249"/>
      <c r="Y62" s="249"/>
      <c r="Z62" s="250">
        <f t="shared" si="25"/>
        <v>0</v>
      </c>
      <c r="AA62" s="249"/>
      <c r="AB62" s="249"/>
      <c r="AC62" s="250">
        <f t="shared" si="26"/>
        <v>0</v>
      </c>
      <c r="AD62" s="249"/>
      <c r="AE62" s="249"/>
      <c r="AF62" s="250">
        <f t="shared" si="27"/>
        <v>0</v>
      </c>
      <c r="AG62" s="249"/>
      <c r="AH62" s="249"/>
      <c r="AI62" s="250">
        <f t="shared" si="28"/>
        <v>0</v>
      </c>
      <c r="AJ62" s="249"/>
      <c r="AK62" s="249"/>
      <c r="AL62" s="250">
        <f t="shared" si="29"/>
        <v>0</v>
      </c>
      <c r="AM62" s="249"/>
      <c r="AN62" s="249"/>
      <c r="AO62" s="250">
        <f t="shared" si="30"/>
        <v>0</v>
      </c>
      <c r="AP62" s="249"/>
      <c r="AQ62" s="249"/>
      <c r="AR62" s="250">
        <f t="shared" si="31"/>
        <v>0</v>
      </c>
      <c r="AS62" s="249"/>
      <c r="AT62" s="249"/>
      <c r="AU62" s="250">
        <f t="shared" si="32"/>
        <v>0</v>
      </c>
      <c r="AV62" s="249"/>
      <c r="AW62" s="249"/>
      <c r="AX62" s="250">
        <f t="shared" si="33"/>
        <v>0</v>
      </c>
      <c r="AY62" s="249"/>
      <c r="AZ62" s="249"/>
      <c r="BA62" s="250">
        <f t="shared" si="34"/>
        <v>0</v>
      </c>
      <c r="BB62" s="249"/>
      <c r="BC62" s="249"/>
      <c r="BD62" s="250">
        <f t="shared" si="35"/>
        <v>0</v>
      </c>
    </row>
    <row r="63" spans="1:56">
      <c r="A63" s="251"/>
      <c r="B63" s="259" t="s">
        <v>392</v>
      </c>
      <c r="C63" s="249">
        <v>2298</v>
      </c>
      <c r="D63" s="249">
        <v>2553</v>
      </c>
      <c r="E63" s="508">
        <f t="shared" si="40"/>
        <v>11.096605744125327</v>
      </c>
      <c r="F63" s="249">
        <v>8555.4</v>
      </c>
      <c r="G63" s="249">
        <v>9606</v>
      </c>
      <c r="H63" s="437">
        <f t="shared" si="41"/>
        <v>12.279963531804478</v>
      </c>
      <c r="I63" s="249"/>
      <c r="J63" s="249"/>
      <c r="K63" s="437">
        <f t="shared" si="42"/>
        <v>0</v>
      </c>
      <c r="L63" s="249"/>
      <c r="M63" s="249"/>
      <c r="N63" s="250">
        <f t="shared" si="43"/>
        <v>0</v>
      </c>
      <c r="O63" s="249"/>
      <c r="P63" s="249"/>
      <c r="Q63" s="250">
        <f t="shared" si="22"/>
        <v>0</v>
      </c>
      <c r="R63" s="249"/>
      <c r="S63" s="249"/>
      <c r="T63" s="250">
        <f t="shared" si="23"/>
        <v>0</v>
      </c>
      <c r="U63" s="249"/>
      <c r="V63" s="249"/>
      <c r="W63" s="250">
        <f t="shared" si="24"/>
        <v>0</v>
      </c>
      <c r="X63" s="249"/>
      <c r="Y63" s="249"/>
      <c r="Z63" s="250">
        <f t="shared" si="25"/>
        <v>0</v>
      </c>
      <c r="AA63" s="249"/>
      <c r="AB63" s="249"/>
      <c r="AC63" s="250">
        <f t="shared" si="26"/>
        <v>0</v>
      </c>
      <c r="AD63" s="249"/>
      <c r="AE63" s="249"/>
      <c r="AF63" s="250">
        <f t="shared" si="27"/>
        <v>0</v>
      </c>
      <c r="AG63" s="249"/>
      <c r="AH63" s="249"/>
      <c r="AI63" s="250">
        <f t="shared" si="28"/>
        <v>0</v>
      </c>
      <c r="AJ63" s="249"/>
      <c r="AK63" s="249"/>
      <c r="AL63" s="250">
        <f t="shared" si="29"/>
        <v>0</v>
      </c>
      <c r="AM63" s="249"/>
      <c r="AN63" s="249"/>
      <c r="AO63" s="250">
        <f t="shared" si="30"/>
        <v>0</v>
      </c>
      <c r="AP63" s="249"/>
      <c r="AQ63" s="249"/>
      <c r="AR63" s="250">
        <f t="shared" si="31"/>
        <v>0</v>
      </c>
      <c r="AS63" s="249"/>
      <c r="AT63" s="249"/>
      <c r="AU63" s="250">
        <f t="shared" si="32"/>
        <v>0</v>
      </c>
      <c r="AV63" s="249"/>
      <c r="AW63" s="249"/>
      <c r="AX63" s="250">
        <f t="shared" si="33"/>
        <v>0</v>
      </c>
      <c r="AY63" s="249"/>
      <c r="AZ63" s="249"/>
      <c r="BA63" s="250">
        <f t="shared" si="34"/>
        <v>0</v>
      </c>
      <c r="BB63" s="249"/>
      <c r="BC63" s="249"/>
      <c r="BD63" s="250">
        <f t="shared" si="35"/>
        <v>0</v>
      </c>
    </row>
    <row r="64" spans="1:56">
      <c r="A64" s="251"/>
      <c r="B64" s="259" t="s">
        <v>196</v>
      </c>
      <c r="C64" s="249">
        <v>2287.35</v>
      </c>
      <c r="D64" s="249">
        <v>2541.48</v>
      </c>
      <c r="E64" s="508">
        <f t="shared" si="40"/>
        <v>11.110236736835208</v>
      </c>
      <c r="F64" s="249">
        <v>8356.9500000000007</v>
      </c>
      <c r="G64" s="249">
        <v>9320.4</v>
      </c>
      <c r="H64" s="437">
        <f t="shared" si="41"/>
        <v>11.528727586021201</v>
      </c>
      <c r="I64" s="249"/>
      <c r="J64" s="249"/>
      <c r="K64" s="437">
        <f t="shared" si="42"/>
        <v>0</v>
      </c>
      <c r="L64" s="249"/>
      <c r="M64" s="249"/>
      <c r="N64" s="250">
        <f t="shared" si="43"/>
        <v>0</v>
      </c>
      <c r="O64" s="249"/>
      <c r="P64" s="249"/>
      <c r="Q64" s="250">
        <f t="shared" si="22"/>
        <v>0</v>
      </c>
      <c r="R64" s="249"/>
      <c r="S64" s="249"/>
      <c r="T64" s="250">
        <f t="shared" si="23"/>
        <v>0</v>
      </c>
      <c r="U64" s="249"/>
      <c r="V64" s="249"/>
      <c r="W64" s="250">
        <f t="shared" si="24"/>
        <v>0</v>
      </c>
      <c r="X64" s="249"/>
      <c r="Y64" s="249"/>
      <c r="Z64" s="250">
        <f t="shared" si="25"/>
        <v>0</v>
      </c>
      <c r="AA64" s="249"/>
      <c r="AB64" s="249"/>
      <c r="AC64" s="250">
        <f t="shared" si="26"/>
        <v>0</v>
      </c>
      <c r="AD64" s="249"/>
      <c r="AE64" s="249"/>
      <c r="AF64" s="250">
        <f t="shared" si="27"/>
        <v>0</v>
      </c>
      <c r="AG64" s="249"/>
      <c r="AH64" s="249"/>
      <c r="AI64" s="250">
        <f t="shared" si="28"/>
        <v>0</v>
      </c>
      <c r="AJ64" s="249"/>
      <c r="AK64" s="249"/>
      <c r="AL64" s="250">
        <f t="shared" si="29"/>
        <v>0</v>
      </c>
      <c r="AM64" s="249"/>
      <c r="AN64" s="249"/>
      <c r="AO64" s="250">
        <f t="shared" si="30"/>
        <v>0</v>
      </c>
      <c r="AP64" s="249"/>
      <c r="AQ64" s="249"/>
      <c r="AR64" s="250">
        <f t="shared" si="31"/>
        <v>0</v>
      </c>
      <c r="AS64" s="249"/>
      <c r="AT64" s="249"/>
      <c r="AU64" s="250">
        <f t="shared" si="32"/>
        <v>0</v>
      </c>
      <c r="AV64" s="249"/>
      <c r="AW64" s="249"/>
      <c r="AX64" s="250">
        <f t="shared" si="33"/>
        <v>0</v>
      </c>
      <c r="AY64" s="249"/>
      <c r="AZ64" s="249"/>
      <c r="BA64" s="250">
        <f t="shared" si="34"/>
        <v>0</v>
      </c>
      <c r="BB64" s="249"/>
      <c r="BC64" s="249"/>
      <c r="BD64" s="250">
        <f t="shared" si="35"/>
        <v>0</v>
      </c>
    </row>
    <row r="65" spans="1:56" s="255" customFormat="1" ht="20.25" customHeight="1">
      <c r="A65" s="252"/>
      <c r="B65" s="433" t="s">
        <v>550</v>
      </c>
      <c r="C65" s="434">
        <v>2265</v>
      </c>
      <c r="D65" s="434">
        <v>2553</v>
      </c>
      <c r="E65" s="511">
        <f t="shared" si="40"/>
        <v>12.715231788079469</v>
      </c>
      <c r="F65" s="434">
        <v>8435.5499999999993</v>
      </c>
      <c r="G65" s="434">
        <v>9530.25</v>
      </c>
      <c r="H65" s="440">
        <f t="shared" si="41"/>
        <v>12.977221402279648</v>
      </c>
      <c r="I65" s="434"/>
      <c r="J65" s="434"/>
      <c r="K65" s="441">
        <f t="shared" si="42"/>
        <v>0</v>
      </c>
      <c r="L65" s="434"/>
      <c r="M65" s="434"/>
      <c r="N65" s="435">
        <f t="shared" si="43"/>
        <v>0</v>
      </c>
      <c r="O65" s="434"/>
      <c r="P65" s="434"/>
      <c r="Q65" s="435">
        <f t="shared" si="22"/>
        <v>0</v>
      </c>
      <c r="R65" s="434"/>
      <c r="S65" s="434"/>
      <c r="T65" s="435">
        <f t="shared" si="23"/>
        <v>0</v>
      </c>
      <c r="U65" s="434"/>
      <c r="V65" s="434"/>
      <c r="W65" s="435">
        <f t="shared" si="24"/>
        <v>0</v>
      </c>
      <c r="X65" s="434"/>
      <c r="Y65" s="434"/>
      <c r="Z65" s="435">
        <f t="shared" si="25"/>
        <v>0</v>
      </c>
      <c r="AA65" s="434"/>
      <c r="AB65" s="434"/>
      <c r="AC65" s="435">
        <f t="shared" si="26"/>
        <v>0</v>
      </c>
      <c r="AD65" s="434"/>
      <c r="AE65" s="434"/>
      <c r="AF65" s="435">
        <f t="shared" si="27"/>
        <v>0</v>
      </c>
      <c r="AG65" s="434"/>
      <c r="AH65" s="434"/>
      <c r="AI65" s="435">
        <f t="shared" si="28"/>
        <v>0</v>
      </c>
      <c r="AJ65" s="434"/>
      <c r="AK65" s="434"/>
      <c r="AL65" s="435">
        <f t="shared" si="29"/>
        <v>0</v>
      </c>
      <c r="AM65" s="434"/>
      <c r="AN65" s="434"/>
      <c r="AO65" s="435">
        <f t="shared" si="30"/>
        <v>0</v>
      </c>
      <c r="AP65" s="434"/>
      <c r="AQ65" s="434"/>
      <c r="AR65" s="435">
        <f t="shared" si="31"/>
        <v>0</v>
      </c>
      <c r="AS65" s="434"/>
      <c r="AT65" s="434"/>
      <c r="AU65" s="435">
        <f t="shared" si="32"/>
        <v>0</v>
      </c>
      <c r="AV65" s="434"/>
      <c r="AW65" s="434"/>
      <c r="AX65" s="435">
        <f t="shared" si="33"/>
        <v>0</v>
      </c>
      <c r="AY65" s="434"/>
      <c r="AZ65" s="434"/>
      <c r="BA65" s="435">
        <f t="shared" si="34"/>
        <v>0</v>
      </c>
      <c r="BB65" s="434"/>
      <c r="BC65" s="434"/>
      <c r="BD65" s="435">
        <f t="shared" si="35"/>
        <v>0</v>
      </c>
    </row>
    <row r="66" spans="1:56">
      <c r="A66" s="251"/>
      <c r="B66" s="259" t="s">
        <v>197</v>
      </c>
      <c r="C66" s="249"/>
      <c r="D66" s="249"/>
      <c r="E66" s="508">
        <f t="shared" si="40"/>
        <v>0</v>
      </c>
      <c r="F66" s="249"/>
      <c r="G66" s="249"/>
      <c r="H66" s="437">
        <f t="shared" si="41"/>
        <v>0</v>
      </c>
      <c r="I66" s="249"/>
      <c r="J66" s="249"/>
      <c r="K66" s="437">
        <f t="shared" si="42"/>
        <v>0</v>
      </c>
      <c r="L66" s="249"/>
      <c r="M66" s="249"/>
      <c r="N66" s="250">
        <f t="shared" si="43"/>
        <v>0</v>
      </c>
      <c r="O66" s="249"/>
      <c r="P66" s="249"/>
      <c r="Q66" s="250">
        <f t="shared" si="22"/>
        <v>0</v>
      </c>
      <c r="R66" s="249"/>
      <c r="S66" s="249"/>
      <c r="T66" s="250">
        <f t="shared" si="23"/>
        <v>0</v>
      </c>
      <c r="U66" s="249"/>
      <c r="V66" s="249"/>
      <c r="W66" s="250">
        <f t="shared" si="24"/>
        <v>0</v>
      </c>
      <c r="X66" s="249"/>
      <c r="Y66" s="249"/>
      <c r="Z66" s="250">
        <f t="shared" si="25"/>
        <v>0</v>
      </c>
      <c r="AA66" s="249"/>
      <c r="AB66" s="249"/>
      <c r="AC66" s="250">
        <f t="shared" si="26"/>
        <v>0</v>
      </c>
      <c r="AD66" s="249"/>
      <c r="AE66" s="249"/>
      <c r="AF66" s="250">
        <f t="shared" si="27"/>
        <v>0</v>
      </c>
      <c r="AG66" s="249"/>
      <c r="AH66" s="249"/>
      <c r="AI66" s="250">
        <f t="shared" si="28"/>
        <v>0</v>
      </c>
      <c r="AJ66" s="249"/>
      <c r="AK66" s="249"/>
      <c r="AL66" s="250">
        <f t="shared" si="29"/>
        <v>0</v>
      </c>
      <c r="AM66" s="249"/>
      <c r="AN66" s="249"/>
      <c r="AO66" s="250">
        <f t="shared" si="30"/>
        <v>0</v>
      </c>
      <c r="AP66" s="249"/>
      <c r="AQ66" s="249"/>
      <c r="AR66" s="250">
        <f t="shared" si="31"/>
        <v>0</v>
      </c>
      <c r="AS66" s="249"/>
      <c r="AT66" s="249"/>
      <c r="AU66" s="250">
        <f t="shared" si="32"/>
        <v>0</v>
      </c>
      <c r="AV66" s="249"/>
      <c r="AW66" s="249"/>
      <c r="AX66" s="250">
        <f t="shared" si="33"/>
        <v>0</v>
      </c>
      <c r="AY66" s="249"/>
      <c r="AZ66" s="249"/>
      <c r="BA66" s="250">
        <f t="shared" si="34"/>
        <v>0</v>
      </c>
      <c r="BB66" s="249"/>
      <c r="BC66" s="249"/>
      <c r="BD66" s="250">
        <f t="shared" si="35"/>
        <v>0</v>
      </c>
    </row>
    <row r="67" spans="1:56">
      <c r="A67" s="251"/>
      <c r="B67" s="259" t="s">
        <v>326</v>
      </c>
      <c r="C67" s="249"/>
      <c r="D67" s="249"/>
      <c r="E67" s="508">
        <f t="shared" si="40"/>
        <v>0</v>
      </c>
      <c r="F67" s="249"/>
      <c r="G67" s="249"/>
      <c r="H67" s="437">
        <f t="shared" si="41"/>
        <v>0</v>
      </c>
      <c r="I67" s="249"/>
      <c r="J67" s="249"/>
      <c r="K67" s="437">
        <f t="shared" si="42"/>
        <v>0</v>
      </c>
      <c r="L67" s="249"/>
      <c r="M67" s="249"/>
      <c r="N67" s="250">
        <f t="shared" si="43"/>
        <v>0</v>
      </c>
      <c r="O67" s="249"/>
      <c r="P67" s="249"/>
      <c r="Q67" s="250">
        <f t="shared" si="22"/>
        <v>0</v>
      </c>
      <c r="R67" s="249"/>
      <c r="S67" s="249"/>
      <c r="T67" s="250">
        <f t="shared" si="23"/>
        <v>0</v>
      </c>
      <c r="U67" s="249"/>
      <c r="V67" s="249"/>
      <c r="W67" s="250">
        <f t="shared" si="24"/>
        <v>0</v>
      </c>
      <c r="X67" s="249"/>
      <c r="Y67" s="249"/>
      <c r="Z67" s="250">
        <f t="shared" si="25"/>
        <v>0</v>
      </c>
      <c r="AA67" s="249"/>
      <c r="AB67" s="249"/>
      <c r="AC67" s="250">
        <f t="shared" si="26"/>
        <v>0</v>
      </c>
      <c r="AD67" s="249"/>
      <c r="AE67" s="249"/>
      <c r="AF67" s="250">
        <f t="shared" si="27"/>
        <v>0</v>
      </c>
      <c r="AG67" s="249"/>
      <c r="AH67" s="249"/>
      <c r="AI67" s="250">
        <f t="shared" si="28"/>
        <v>0</v>
      </c>
      <c r="AJ67" s="249"/>
      <c r="AK67" s="249"/>
      <c r="AL67" s="250">
        <f t="shared" si="29"/>
        <v>0</v>
      </c>
      <c r="AM67" s="249"/>
      <c r="AN67" s="249"/>
      <c r="AO67" s="250">
        <f t="shared" si="30"/>
        <v>0</v>
      </c>
      <c r="AP67" s="249"/>
      <c r="AQ67" s="249"/>
      <c r="AR67" s="250">
        <f t="shared" si="31"/>
        <v>0</v>
      </c>
      <c r="AS67" s="249"/>
      <c r="AT67" s="249"/>
      <c r="AU67" s="250">
        <f t="shared" si="32"/>
        <v>0</v>
      </c>
      <c r="AV67" s="249"/>
      <c r="AW67" s="249"/>
      <c r="AX67" s="250">
        <f t="shared" si="33"/>
        <v>0</v>
      </c>
      <c r="AY67" s="249"/>
      <c r="AZ67" s="249"/>
      <c r="BA67" s="250">
        <f t="shared" si="34"/>
        <v>0</v>
      </c>
      <c r="BB67" s="249"/>
      <c r="BC67" s="249"/>
      <c r="BD67" s="250">
        <f t="shared" si="35"/>
        <v>0</v>
      </c>
    </row>
    <row r="68" spans="1:56">
      <c r="A68" s="251"/>
      <c r="B68" s="259" t="s">
        <v>327</v>
      </c>
      <c r="C68" s="249"/>
      <c r="D68" s="249"/>
      <c r="E68" s="508"/>
      <c r="F68" s="249"/>
      <c r="G68" s="249"/>
      <c r="H68" s="437">
        <f t="shared" si="41"/>
        <v>0</v>
      </c>
      <c r="I68" s="249"/>
      <c r="J68" s="249"/>
      <c r="K68" s="437">
        <f t="shared" si="42"/>
        <v>0</v>
      </c>
      <c r="L68" s="249"/>
      <c r="M68" s="249"/>
      <c r="N68" s="250">
        <f t="shared" si="43"/>
        <v>0</v>
      </c>
      <c r="O68" s="249"/>
      <c r="P68" s="249"/>
      <c r="Q68" s="250">
        <f t="shared" si="22"/>
        <v>0</v>
      </c>
      <c r="R68" s="249"/>
      <c r="S68" s="249"/>
      <c r="T68" s="250">
        <f t="shared" si="23"/>
        <v>0</v>
      </c>
      <c r="U68" s="249"/>
      <c r="V68" s="249"/>
      <c r="W68" s="250">
        <f t="shared" si="24"/>
        <v>0</v>
      </c>
      <c r="X68" s="249"/>
      <c r="Y68" s="249"/>
      <c r="Z68" s="250">
        <f t="shared" si="25"/>
        <v>0</v>
      </c>
      <c r="AA68" s="249"/>
      <c r="AB68" s="249"/>
      <c r="AC68" s="250">
        <f t="shared" si="26"/>
        <v>0</v>
      </c>
      <c r="AD68" s="249"/>
      <c r="AE68" s="249"/>
      <c r="AF68" s="250">
        <f t="shared" si="27"/>
        <v>0</v>
      </c>
      <c r="AG68" s="249"/>
      <c r="AH68" s="249"/>
      <c r="AI68" s="250">
        <f t="shared" si="28"/>
        <v>0</v>
      </c>
      <c r="AJ68" s="249"/>
      <c r="AK68" s="249"/>
      <c r="AL68" s="250">
        <f t="shared" si="29"/>
        <v>0</v>
      </c>
      <c r="AM68" s="249"/>
      <c r="AN68" s="249"/>
      <c r="AO68" s="250">
        <f t="shared" si="30"/>
        <v>0</v>
      </c>
      <c r="AP68" s="249"/>
      <c r="AQ68" s="249"/>
      <c r="AR68" s="250">
        <f t="shared" si="31"/>
        <v>0</v>
      </c>
      <c r="AS68" s="249"/>
      <c r="AT68" s="249"/>
      <c r="AU68" s="250">
        <f t="shared" si="32"/>
        <v>0</v>
      </c>
      <c r="AV68" s="249"/>
      <c r="AW68" s="249"/>
      <c r="AX68" s="250">
        <f t="shared" si="33"/>
        <v>0</v>
      </c>
      <c r="AY68" s="249"/>
      <c r="AZ68" s="249"/>
      <c r="BA68" s="250">
        <f t="shared" si="34"/>
        <v>0</v>
      </c>
      <c r="BB68" s="249"/>
      <c r="BC68" s="249"/>
      <c r="BD68" s="250">
        <f t="shared" si="35"/>
        <v>0</v>
      </c>
    </row>
    <row r="69" spans="1:56" s="255" customFormat="1" ht="21.75" customHeight="1">
      <c r="A69" s="252"/>
      <c r="B69" s="427" t="s">
        <v>315</v>
      </c>
      <c r="C69" s="253"/>
      <c r="D69" s="253"/>
      <c r="E69" s="511">
        <f>IF(C69&gt;0,(((D69-C69)/C69)*100),0)</f>
        <v>0</v>
      </c>
      <c r="F69" s="253"/>
      <c r="G69" s="253"/>
      <c r="H69" s="440">
        <f t="shared" si="41"/>
        <v>0</v>
      </c>
      <c r="I69" s="253"/>
      <c r="J69" s="253"/>
      <c r="K69" s="440">
        <f t="shared" si="42"/>
        <v>0</v>
      </c>
      <c r="L69" s="253"/>
      <c r="M69" s="253"/>
      <c r="N69" s="254">
        <f t="shared" si="43"/>
        <v>0</v>
      </c>
      <c r="O69" s="253"/>
      <c r="P69" s="253"/>
      <c r="Q69" s="254">
        <f t="shared" si="22"/>
        <v>0</v>
      </c>
      <c r="R69" s="253"/>
      <c r="S69" s="253"/>
      <c r="T69" s="254">
        <f t="shared" si="23"/>
        <v>0</v>
      </c>
      <c r="U69" s="253"/>
      <c r="V69" s="253"/>
      <c r="W69" s="254">
        <f t="shared" si="24"/>
        <v>0</v>
      </c>
      <c r="X69" s="253"/>
      <c r="Y69" s="253"/>
      <c r="Z69" s="254">
        <f t="shared" si="25"/>
        <v>0</v>
      </c>
      <c r="AA69" s="253"/>
      <c r="AB69" s="253"/>
      <c r="AC69" s="254">
        <f t="shared" si="26"/>
        <v>0</v>
      </c>
      <c r="AD69" s="253"/>
      <c r="AE69" s="253"/>
      <c r="AF69" s="254">
        <f t="shared" si="27"/>
        <v>0</v>
      </c>
      <c r="AG69" s="253"/>
      <c r="AH69" s="253"/>
      <c r="AI69" s="254">
        <f t="shared" si="28"/>
        <v>0</v>
      </c>
      <c r="AJ69" s="253"/>
      <c r="AK69" s="253"/>
      <c r="AL69" s="254">
        <f t="shared" si="29"/>
        <v>0</v>
      </c>
      <c r="AM69" s="253"/>
      <c r="AN69" s="253"/>
      <c r="AO69" s="254">
        <f t="shared" si="30"/>
        <v>0</v>
      </c>
      <c r="AP69" s="253"/>
      <c r="AQ69" s="253"/>
      <c r="AR69" s="254">
        <f t="shared" si="31"/>
        <v>0</v>
      </c>
      <c r="AS69" s="253"/>
      <c r="AT69" s="253"/>
      <c r="AU69" s="254">
        <f t="shared" si="32"/>
        <v>0</v>
      </c>
      <c r="AV69" s="253"/>
      <c r="AW69" s="253"/>
      <c r="AX69" s="254">
        <f t="shared" si="33"/>
        <v>0</v>
      </c>
      <c r="AY69" s="253"/>
      <c r="AZ69" s="253"/>
      <c r="BA69" s="254">
        <f t="shared" si="34"/>
        <v>0</v>
      </c>
      <c r="BB69" s="253"/>
      <c r="BC69" s="253"/>
      <c r="BD69" s="254">
        <f t="shared" si="35"/>
        <v>0</v>
      </c>
    </row>
    <row r="70" spans="1:56">
      <c r="A70" s="256"/>
      <c r="B70" s="428" t="s">
        <v>198</v>
      </c>
      <c r="C70" s="257"/>
      <c r="D70" s="257"/>
      <c r="E70" s="510"/>
      <c r="F70" s="257"/>
      <c r="G70" s="257"/>
      <c r="H70" s="439"/>
      <c r="I70" s="257"/>
      <c r="J70" s="257"/>
      <c r="K70" s="439"/>
      <c r="L70" s="257"/>
      <c r="M70" s="257"/>
      <c r="N70" s="258"/>
      <c r="O70" s="257">
        <v>9280.5</v>
      </c>
      <c r="P70" s="257">
        <v>10939.92</v>
      </c>
      <c r="Q70" s="258">
        <f t="shared" si="22"/>
        <v>17.880717633748183</v>
      </c>
      <c r="R70" s="257">
        <v>23449.5</v>
      </c>
      <c r="S70" s="257">
        <v>24045.32</v>
      </c>
      <c r="T70" s="258">
        <f t="shared" si="23"/>
        <v>2.5408644107550256</v>
      </c>
      <c r="U70" s="257">
        <v>22422</v>
      </c>
      <c r="V70" s="257">
        <v>24981.5</v>
      </c>
      <c r="W70" s="258">
        <f t="shared" si="24"/>
        <v>11.415127999286415</v>
      </c>
      <c r="X70" s="257">
        <v>53099</v>
      </c>
      <c r="Y70" s="257">
        <v>53412.764999999999</v>
      </c>
      <c r="Z70" s="258">
        <f t="shared" si="25"/>
        <v>0.59090566677338452</v>
      </c>
      <c r="AA70" s="257">
        <f>+'Tuition &amp; Fees Data'!U87</f>
        <v>24202</v>
      </c>
      <c r="AB70" s="257">
        <f>+'Tuition &amp; Fees Data'!V87</f>
        <v>26827.02</v>
      </c>
      <c r="AC70" s="258">
        <f t="shared" si="26"/>
        <v>10.846293694735975</v>
      </c>
      <c r="AD70" s="257">
        <v>50683</v>
      </c>
      <c r="AE70" s="257">
        <v>53307.78</v>
      </c>
      <c r="AF70" s="258">
        <f t="shared" si="27"/>
        <v>5.1788173549316312</v>
      </c>
      <c r="AG70" s="257">
        <v>13095</v>
      </c>
      <c r="AH70" s="257">
        <v>15211.1</v>
      </c>
      <c r="AI70" s="258">
        <f t="shared" si="28"/>
        <v>16.159602901870944</v>
      </c>
      <c r="AJ70" s="257">
        <v>36239</v>
      </c>
      <c r="AK70" s="257">
        <v>38354.559999999998</v>
      </c>
      <c r="AL70" s="258">
        <f t="shared" si="29"/>
        <v>5.837799056265343</v>
      </c>
      <c r="AM70" s="257"/>
      <c r="AN70" s="257"/>
      <c r="AO70" s="258">
        <f t="shared" si="30"/>
        <v>0</v>
      </c>
      <c r="AP70" s="257"/>
      <c r="AQ70" s="257"/>
      <c r="AR70" s="258">
        <f t="shared" si="31"/>
        <v>0</v>
      </c>
      <c r="AS70" s="257"/>
      <c r="AT70" s="257"/>
      <c r="AU70" s="258">
        <f t="shared" si="32"/>
        <v>0</v>
      </c>
      <c r="AV70" s="257"/>
      <c r="AW70" s="257"/>
      <c r="AX70" s="258">
        <f t="shared" si="33"/>
        <v>0</v>
      </c>
      <c r="AY70" s="257">
        <v>21041</v>
      </c>
      <c r="AZ70" s="257">
        <v>23349.98</v>
      </c>
      <c r="BA70" s="258">
        <f t="shared" si="34"/>
        <v>10.973717979183496</v>
      </c>
      <c r="BB70" s="257">
        <f>+'Tuition &amp; Fees Data'!AM87</f>
        <v>42016</v>
      </c>
      <c r="BC70" s="257">
        <f>+'Tuition &amp; Fees Data'!AN87</f>
        <v>42352.36</v>
      </c>
      <c r="BD70" s="258">
        <f t="shared" si="35"/>
        <v>0.80055217060167694</v>
      </c>
    </row>
    <row r="71" spans="1:56">
      <c r="A71" s="247" t="s">
        <v>645</v>
      </c>
      <c r="B71" s="259" t="s">
        <v>384</v>
      </c>
      <c r="C71" s="249">
        <v>6043</v>
      </c>
      <c r="D71" s="249">
        <v>7614</v>
      </c>
      <c r="E71" s="508">
        <f t="shared" ref="E71:E84" si="44">IF(C71&gt;0,(((D71-C71)/C71)*100),0)</f>
        <v>25.997021347013071</v>
      </c>
      <c r="F71" s="249">
        <v>21483</v>
      </c>
      <c r="G71" s="249">
        <v>25824</v>
      </c>
      <c r="H71" s="437">
        <f t="shared" ref="H71:H86" si="45">IF(F71&gt;0,(((G71-F71)/F71)*100),0)</f>
        <v>20.206675045384724</v>
      </c>
      <c r="I71" s="249">
        <v>6796</v>
      </c>
      <c r="J71" s="249">
        <v>7748</v>
      </c>
      <c r="K71" s="437">
        <f t="shared" ref="K71:K86" si="46">IF(I71&gt;0,(((J71-I71)/I71)*100),0)</f>
        <v>14.008240141259565</v>
      </c>
      <c r="L71" s="249">
        <v>23078</v>
      </c>
      <c r="M71" s="249">
        <v>24808</v>
      </c>
      <c r="N71" s="250">
        <f t="shared" ref="N71:N86" si="47">IF(L71&gt;0,(((M71-L71)/L71)*100),0)</f>
        <v>7.4963168385475338</v>
      </c>
      <c r="O71" s="249"/>
      <c r="P71" s="249"/>
      <c r="Q71" s="250">
        <f t="shared" si="22"/>
        <v>0</v>
      </c>
      <c r="R71" s="249"/>
      <c r="S71" s="249"/>
      <c r="T71" s="250">
        <f t="shared" si="23"/>
        <v>0</v>
      </c>
      <c r="U71" s="249"/>
      <c r="V71" s="249"/>
      <c r="W71" s="250">
        <f t="shared" si="24"/>
        <v>0</v>
      </c>
      <c r="X71" s="249"/>
      <c r="Y71" s="249"/>
      <c r="Z71" s="250">
        <f t="shared" si="25"/>
        <v>0</v>
      </c>
      <c r="AA71" s="249"/>
      <c r="AB71" s="249"/>
      <c r="AC71" s="250">
        <f t="shared" si="26"/>
        <v>0</v>
      </c>
      <c r="AD71" s="249"/>
      <c r="AE71" s="249"/>
      <c r="AF71" s="250">
        <f t="shared" si="27"/>
        <v>0</v>
      </c>
      <c r="AG71" s="249"/>
      <c r="AH71" s="249"/>
      <c r="AI71" s="250">
        <f t="shared" si="28"/>
        <v>0</v>
      </c>
      <c r="AJ71" s="249"/>
      <c r="AK71" s="249"/>
      <c r="AL71" s="250">
        <f t="shared" si="29"/>
        <v>0</v>
      </c>
      <c r="AM71" s="249"/>
      <c r="AN71" s="249"/>
      <c r="AO71" s="250">
        <f t="shared" si="30"/>
        <v>0</v>
      </c>
      <c r="AP71" s="249"/>
      <c r="AQ71" s="249"/>
      <c r="AR71" s="250">
        <f t="shared" si="31"/>
        <v>0</v>
      </c>
      <c r="AS71" s="249"/>
      <c r="AT71" s="249"/>
      <c r="AU71" s="250">
        <f t="shared" si="32"/>
        <v>0</v>
      </c>
      <c r="AV71" s="249"/>
      <c r="AW71" s="249"/>
      <c r="AX71" s="250">
        <f t="shared" si="33"/>
        <v>0</v>
      </c>
      <c r="AY71" s="249"/>
      <c r="AZ71" s="249"/>
      <c r="BA71" s="250">
        <f t="shared" si="34"/>
        <v>0</v>
      </c>
      <c r="BB71" s="249"/>
      <c r="BC71" s="249"/>
      <c r="BD71" s="250">
        <f t="shared" si="35"/>
        <v>0</v>
      </c>
    </row>
    <row r="72" spans="1:56">
      <c r="A72" s="251"/>
      <c r="B72" s="259" t="s">
        <v>385</v>
      </c>
      <c r="C72" s="249">
        <v>6040</v>
      </c>
      <c r="D72" s="249">
        <v>7606</v>
      </c>
      <c r="E72" s="508">
        <f t="shared" si="44"/>
        <v>25.927152317880797</v>
      </c>
      <c r="F72" s="249">
        <v>25182</v>
      </c>
      <c r="G72" s="249">
        <v>25816</v>
      </c>
      <c r="H72" s="466">
        <f t="shared" si="45"/>
        <v>2.5176713525534113</v>
      </c>
      <c r="I72" s="249">
        <v>6854</v>
      </c>
      <c r="J72" s="249">
        <v>8420</v>
      </c>
      <c r="K72" s="437">
        <f t="shared" si="46"/>
        <v>22.847971987160783</v>
      </c>
      <c r="L72" s="249">
        <v>24926</v>
      </c>
      <c r="M72" s="249">
        <v>26492</v>
      </c>
      <c r="N72" s="250">
        <f t="shared" si="47"/>
        <v>6.2825964855973675</v>
      </c>
      <c r="O72" s="249"/>
      <c r="P72" s="249"/>
      <c r="Q72" s="250">
        <f t="shared" si="22"/>
        <v>0</v>
      </c>
      <c r="R72" s="249"/>
      <c r="S72" s="249"/>
      <c r="T72" s="250">
        <f t="shared" si="23"/>
        <v>0</v>
      </c>
      <c r="U72" s="249"/>
      <c r="V72" s="249"/>
      <c r="W72" s="250">
        <f t="shared" si="24"/>
        <v>0</v>
      </c>
      <c r="X72" s="249"/>
      <c r="Y72" s="249"/>
      <c r="Z72" s="250">
        <f t="shared" si="25"/>
        <v>0</v>
      </c>
      <c r="AA72" s="249"/>
      <c r="AB72" s="249"/>
      <c r="AC72" s="250">
        <f t="shared" si="26"/>
        <v>0</v>
      </c>
      <c r="AD72" s="249"/>
      <c r="AE72" s="249"/>
      <c r="AF72" s="250">
        <f t="shared" si="27"/>
        <v>0</v>
      </c>
      <c r="AG72" s="249"/>
      <c r="AH72" s="249"/>
      <c r="AI72" s="250">
        <f t="shared" si="28"/>
        <v>0</v>
      </c>
      <c r="AJ72" s="249"/>
      <c r="AK72" s="249"/>
      <c r="AL72" s="250">
        <f t="shared" si="29"/>
        <v>0</v>
      </c>
      <c r="AM72" s="249"/>
      <c r="AN72" s="249"/>
      <c r="AO72" s="250">
        <f t="shared" si="30"/>
        <v>0</v>
      </c>
      <c r="AP72" s="249"/>
      <c r="AQ72" s="249"/>
      <c r="AR72" s="250">
        <f t="shared" si="31"/>
        <v>0</v>
      </c>
      <c r="AS72" s="249"/>
      <c r="AT72" s="249"/>
      <c r="AU72" s="250">
        <f t="shared" si="32"/>
        <v>0</v>
      </c>
      <c r="AV72" s="249"/>
      <c r="AW72" s="249"/>
      <c r="AX72" s="250">
        <f t="shared" si="33"/>
        <v>0</v>
      </c>
      <c r="AY72" s="249"/>
      <c r="AZ72" s="249"/>
      <c r="BA72" s="250">
        <f t="shared" si="34"/>
        <v>0</v>
      </c>
      <c r="BB72" s="249"/>
      <c r="BC72" s="249"/>
      <c r="BD72" s="250">
        <f t="shared" si="35"/>
        <v>0</v>
      </c>
    </row>
    <row r="73" spans="1:56">
      <c r="A73" s="251"/>
      <c r="B73" s="259" t="s">
        <v>386</v>
      </c>
      <c r="C73" s="249">
        <v>4348</v>
      </c>
      <c r="D73" s="249">
        <v>5540</v>
      </c>
      <c r="E73" s="508">
        <f t="shared" si="44"/>
        <v>27.414903403863843</v>
      </c>
      <c r="F73" s="249">
        <v>13930</v>
      </c>
      <c r="G73" s="249">
        <v>17516</v>
      </c>
      <c r="H73" s="437">
        <f t="shared" si="45"/>
        <v>25.743000717875091</v>
      </c>
      <c r="I73" s="249">
        <v>4988</v>
      </c>
      <c r="J73" s="249">
        <v>5710</v>
      </c>
      <c r="K73" s="437">
        <f t="shared" si="46"/>
        <v>14.474739374498796</v>
      </c>
      <c r="L73" s="249">
        <v>16232</v>
      </c>
      <c r="M73" s="249">
        <v>18010</v>
      </c>
      <c r="N73" s="250">
        <f t="shared" si="47"/>
        <v>10.953671759487433</v>
      </c>
      <c r="O73" s="249"/>
      <c r="P73" s="249"/>
      <c r="Q73" s="250">
        <f t="shared" si="22"/>
        <v>0</v>
      </c>
      <c r="R73" s="249"/>
      <c r="S73" s="249"/>
      <c r="T73" s="250">
        <f t="shared" si="23"/>
        <v>0</v>
      </c>
      <c r="U73" s="249"/>
      <c r="V73" s="249"/>
      <c r="W73" s="250">
        <f t="shared" si="24"/>
        <v>0</v>
      </c>
      <c r="X73" s="249"/>
      <c r="Y73" s="249"/>
      <c r="Z73" s="250">
        <f t="shared" si="25"/>
        <v>0</v>
      </c>
      <c r="AA73" s="249"/>
      <c r="AB73" s="249"/>
      <c r="AC73" s="250">
        <f t="shared" si="26"/>
        <v>0</v>
      </c>
      <c r="AD73" s="249"/>
      <c r="AE73" s="249"/>
      <c r="AF73" s="250">
        <f t="shared" si="27"/>
        <v>0</v>
      </c>
      <c r="AG73" s="249"/>
      <c r="AH73" s="249"/>
      <c r="AI73" s="250">
        <f t="shared" si="28"/>
        <v>0</v>
      </c>
      <c r="AJ73" s="249"/>
      <c r="AK73" s="249"/>
      <c r="AL73" s="250">
        <f t="shared" si="29"/>
        <v>0</v>
      </c>
      <c r="AM73" s="249"/>
      <c r="AN73" s="249"/>
      <c r="AO73" s="250">
        <f t="shared" si="30"/>
        <v>0</v>
      </c>
      <c r="AP73" s="249"/>
      <c r="AQ73" s="249"/>
      <c r="AR73" s="250">
        <f t="shared" si="31"/>
        <v>0</v>
      </c>
      <c r="AS73" s="249"/>
      <c r="AT73" s="249"/>
      <c r="AU73" s="250">
        <f t="shared" si="32"/>
        <v>0</v>
      </c>
      <c r="AV73" s="249"/>
      <c r="AW73" s="249"/>
      <c r="AX73" s="250">
        <f t="shared" si="33"/>
        <v>0</v>
      </c>
      <c r="AY73" s="249"/>
      <c r="AZ73" s="249"/>
      <c r="BA73" s="250">
        <f t="shared" si="34"/>
        <v>0</v>
      </c>
      <c r="BB73" s="249"/>
      <c r="BC73" s="249"/>
      <c r="BD73" s="250">
        <f t="shared" si="35"/>
        <v>0</v>
      </c>
    </row>
    <row r="74" spans="1:56">
      <c r="A74" s="251"/>
      <c r="B74" s="259" t="s">
        <v>387</v>
      </c>
      <c r="C74" s="249">
        <v>3876</v>
      </c>
      <c r="D74" s="249">
        <v>5099</v>
      </c>
      <c r="E74" s="508">
        <f t="shared" si="44"/>
        <v>31.553147574819402</v>
      </c>
      <c r="F74" s="249">
        <v>13168</v>
      </c>
      <c r="G74" s="249">
        <v>16713</v>
      </c>
      <c r="H74" s="437">
        <f t="shared" si="45"/>
        <v>26.921324422843256</v>
      </c>
      <c r="I74" s="249">
        <v>4330</v>
      </c>
      <c r="J74" s="249">
        <v>4975</v>
      </c>
      <c r="K74" s="437">
        <f t="shared" si="46"/>
        <v>14.896073903002311</v>
      </c>
      <c r="L74" s="249">
        <v>15338</v>
      </c>
      <c r="M74" s="249">
        <v>16635</v>
      </c>
      <c r="N74" s="250">
        <f t="shared" si="47"/>
        <v>8.4561220498109275</v>
      </c>
      <c r="O74" s="249"/>
      <c r="P74" s="249"/>
      <c r="Q74" s="250">
        <f t="shared" si="22"/>
        <v>0</v>
      </c>
      <c r="R74" s="249"/>
      <c r="S74" s="249"/>
      <c r="T74" s="250">
        <f t="shared" si="23"/>
        <v>0</v>
      </c>
      <c r="U74" s="249"/>
      <c r="V74" s="249"/>
      <c r="W74" s="250">
        <f t="shared" si="24"/>
        <v>0</v>
      </c>
      <c r="X74" s="249"/>
      <c r="Y74" s="249"/>
      <c r="Z74" s="250">
        <f t="shared" si="25"/>
        <v>0</v>
      </c>
      <c r="AA74" s="249"/>
      <c r="AB74" s="249"/>
      <c r="AC74" s="250">
        <f t="shared" si="26"/>
        <v>0</v>
      </c>
      <c r="AD74" s="249"/>
      <c r="AE74" s="249"/>
      <c r="AF74" s="250">
        <f t="shared" si="27"/>
        <v>0</v>
      </c>
      <c r="AG74" s="249"/>
      <c r="AH74" s="249"/>
      <c r="AI74" s="250">
        <f t="shared" si="28"/>
        <v>0</v>
      </c>
      <c r="AJ74" s="249"/>
      <c r="AK74" s="249"/>
      <c r="AL74" s="250">
        <f t="shared" si="29"/>
        <v>0</v>
      </c>
      <c r="AM74" s="249"/>
      <c r="AN74" s="249"/>
      <c r="AO74" s="250">
        <f t="shared" si="30"/>
        <v>0</v>
      </c>
      <c r="AP74" s="249"/>
      <c r="AQ74" s="249"/>
      <c r="AR74" s="250">
        <f t="shared" si="31"/>
        <v>0</v>
      </c>
      <c r="AS74" s="249"/>
      <c r="AT74" s="249"/>
      <c r="AU74" s="250">
        <f t="shared" si="32"/>
        <v>0</v>
      </c>
      <c r="AV74" s="249"/>
      <c r="AW74" s="249"/>
      <c r="AX74" s="250">
        <f t="shared" si="33"/>
        <v>0</v>
      </c>
      <c r="AY74" s="249"/>
      <c r="AZ74" s="249"/>
      <c r="BA74" s="250">
        <f t="shared" si="34"/>
        <v>0</v>
      </c>
      <c r="BB74" s="249"/>
      <c r="BC74" s="249"/>
      <c r="BD74" s="250">
        <f t="shared" si="35"/>
        <v>0</v>
      </c>
    </row>
    <row r="75" spans="1:56">
      <c r="A75" s="251"/>
      <c r="B75" s="259" t="s">
        <v>388</v>
      </c>
      <c r="C75" s="249">
        <v>3836</v>
      </c>
      <c r="D75" s="249">
        <v>4857</v>
      </c>
      <c r="E75" s="508">
        <f t="shared" si="44"/>
        <v>26.616266944734097</v>
      </c>
      <c r="F75" s="249">
        <v>13128</v>
      </c>
      <c r="G75" s="249">
        <v>16471</v>
      </c>
      <c r="H75" s="437">
        <f t="shared" si="45"/>
        <v>25.464655697745275</v>
      </c>
      <c r="I75" s="249">
        <v>4128</v>
      </c>
      <c r="J75" s="249">
        <v>4637</v>
      </c>
      <c r="K75" s="437">
        <f t="shared" si="46"/>
        <v>12.330426356589147</v>
      </c>
      <c r="L75" s="249">
        <v>14288</v>
      </c>
      <c r="M75" s="249">
        <v>15623</v>
      </c>
      <c r="N75" s="250">
        <f t="shared" si="47"/>
        <v>9.3435050391937295</v>
      </c>
      <c r="O75" s="249"/>
      <c r="P75" s="249"/>
      <c r="Q75" s="250">
        <f t="shared" si="22"/>
        <v>0</v>
      </c>
      <c r="R75" s="249"/>
      <c r="S75" s="249"/>
      <c r="T75" s="250">
        <f t="shared" si="23"/>
        <v>0</v>
      </c>
      <c r="U75" s="249"/>
      <c r="V75" s="249"/>
      <c r="W75" s="250">
        <f t="shared" si="24"/>
        <v>0</v>
      </c>
      <c r="X75" s="249"/>
      <c r="Y75" s="249"/>
      <c r="Z75" s="250">
        <f t="shared" si="25"/>
        <v>0</v>
      </c>
      <c r="AA75" s="249"/>
      <c r="AB75" s="249"/>
      <c r="AC75" s="250">
        <f t="shared" si="26"/>
        <v>0</v>
      </c>
      <c r="AD75" s="249"/>
      <c r="AE75" s="249"/>
      <c r="AF75" s="250">
        <f t="shared" si="27"/>
        <v>0</v>
      </c>
      <c r="AG75" s="249"/>
      <c r="AH75" s="249"/>
      <c r="AI75" s="250">
        <f t="shared" si="28"/>
        <v>0</v>
      </c>
      <c r="AJ75" s="249"/>
      <c r="AK75" s="249"/>
      <c r="AL75" s="250">
        <f t="shared" si="29"/>
        <v>0</v>
      </c>
      <c r="AM75" s="249"/>
      <c r="AN75" s="249"/>
      <c r="AO75" s="250">
        <f t="shared" si="30"/>
        <v>0</v>
      </c>
      <c r="AP75" s="249"/>
      <c r="AQ75" s="249"/>
      <c r="AR75" s="250">
        <f t="shared" si="31"/>
        <v>0</v>
      </c>
      <c r="AS75" s="249"/>
      <c r="AT75" s="249"/>
      <c r="AU75" s="250">
        <f t="shared" si="32"/>
        <v>0</v>
      </c>
      <c r="AV75" s="249"/>
      <c r="AW75" s="249"/>
      <c r="AX75" s="250">
        <f t="shared" si="33"/>
        <v>0</v>
      </c>
      <c r="AY75" s="249"/>
      <c r="AZ75" s="249"/>
      <c r="BA75" s="250">
        <f t="shared" si="34"/>
        <v>0</v>
      </c>
      <c r="BB75" s="249"/>
      <c r="BC75" s="249"/>
      <c r="BD75" s="250">
        <f t="shared" si="35"/>
        <v>0</v>
      </c>
    </row>
    <row r="76" spans="1:56">
      <c r="A76" s="251"/>
      <c r="B76" s="259" t="s">
        <v>389</v>
      </c>
      <c r="C76" s="249">
        <v>3017</v>
      </c>
      <c r="D76" s="249">
        <v>3882.5</v>
      </c>
      <c r="E76" s="508">
        <f t="shared" si="44"/>
        <v>28.687437852171033</v>
      </c>
      <c r="F76" s="249">
        <v>10654</v>
      </c>
      <c r="G76" s="249">
        <v>13430.5</v>
      </c>
      <c r="H76" s="437">
        <f t="shared" si="45"/>
        <v>26.060634503472873</v>
      </c>
      <c r="I76" s="249">
        <v>4408</v>
      </c>
      <c r="J76" s="249">
        <v>5119</v>
      </c>
      <c r="K76" s="437">
        <f t="shared" si="46"/>
        <v>16.129764065335753</v>
      </c>
      <c r="L76" s="249">
        <v>15496</v>
      </c>
      <c r="M76" s="249">
        <v>17359</v>
      </c>
      <c r="N76" s="250">
        <f t="shared" si="47"/>
        <v>12.022457408363449</v>
      </c>
      <c r="O76" s="249"/>
      <c r="P76" s="249"/>
      <c r="Q76" s="250">
        <f t="shared" si="22"/>
        <v>0</v>
      </c>
      <c r="R76" s="249"/>
      <c r="S76" s="249"/>
      <c r="T76" s="250">
        <f t="shared" si="23"/>
        <v>0</v>
      </c>
      <c r="U76" s="249"/>
      <c r="V76" s="249"/>
      <c r="W76" s="250">
        <f t="shared" si="24"/>
        <v>0</v>
      </c>
      <c r="X76" s="249"/>
      <c r="Y76" s="249"/>
      <c r="Z76" s="250">
        <f t="shared" si="25"/>
        <v>0</v>
      </c>
      <c r="AA76" s="249"/>
      <c r="AB76" s="249"/>
      <c r="AC76" s="250">
        <f t="shared" si="26"/>
        <v>0</v>
      </c>
      <c r="AD76" s="249"/>
      <c r="AE76" s="249"/>
      <c r="AF76" s="250">
        <f t="shared" si="27"/>
        <v>0</v>
      </c>
      <c r="AG76" s="249"/>
      <c r="AH76" s="249"/>
      <c r="AI76" s="250">
        <f t="shared" si="28"/>
        <v>0</v>
      </c>
      <c r="AJ76" s="249"/>
      <c r="AK76" s="249"/>
      <c r="AL76" s="250">
        <f t="shared" si="29"/>
        <v>0</v>
      </c>
      <c r="AM76" s="249"/>
      <c r="AN76" s="249"/>
      <c r="AO76" s="250">
        <f t="shared" si="30"/>
        <v>0</v>
      </c>
      <c r="AP76" s="249"/>
      <c r="AQ76" s="249"/>
      <c r="AR76" s="250">
        <f t="shared" si="31"/>
        <v>0</v>
      </c>
      <c r="AS76" s="249"/>
      <c r="AT76" s="249"/>
      <c r="AU76" s="250">
        <f t="shared" si="32"/>
        <v>0</v>
      </c>
      <c r="AV76" s="249"/>
      <c r="AW76" s="249"/>
      <c r="AX76" s="250">
        <f t="shared" si="33"/>
        <v>0</v>
      </c>
      <c r="AY76" s="249"/>
      <c r="AZ76" s="249"/>
      <c r="BA76" s="250">
        <f t="shared" si="34"/>
        <v>0</v>
      </c>
      <c r="BB76" s="249"/>
      <c r="BC76" s="249"/>
      <c r="BD76" s="250">
        <f t="shared" si="35"/>
        <v>0</v>
      </c>
    </row>
    <row r="77" spans="1:56" s="255" customFormat="1" ht="19.5" customHeight="1">
      <c r="A77" s="252"/>
      <c r="B77" s="431" t="s">
        <v>221</v>
      </c>
      <c r="C77" s="425">
        <v>4032</v>
      </c>
      <c r="D77" s="425">
        <v>5093</v>
      </c>
      <c r="E77" s="509">
        <f t="shared" si="44"/>
        <v>26.314484126984127</v>
      </c>
      <c r="F77" s="425">
        <v>13324</v>
      </c>
      <c r="G77" s="425">
        <v>16707</v>
      </c>
      <c r="H77" s="438">
        <f t="shared" si="45"/>
        <v>25.390273191233863</v>
      </c>
      <c r="I77" s="425">
        <v>4530</v>
      </c>
      <c r="J77" s="425">
        <v>5119</v>
      </c>
      <c r="K77" s="438">
        <f t="shared" si="46"/>
        <v>13.002207505518765</v>
      </c>
      <c r="L77" s="425">
        <v>15496</v>
      </c>
      <c r="M77" s="425">
        <v>17222</v>
      </c>
      <c r="N77" s="421">
        <f t="shared" si="47"/>
        <v>11.138358286009293</v>
      </c>
      <c r="O77" s="425"/>
      <c r="P77" s="425"/>
      <c r="Q77" s="421">
        <f t="shared" si="22"/>
        <v>0</v>
      </c>
      <c r="R77" s="425"/>
      <c r="S77" s="425"/>
      <c r="T77" s="421">
        <f t="shared" si="23"/>
        <v>0</v>
      </c>
      <c r="U77" s="425"/>
      <c r="V77" s="425"/>
      <c r="W77" s="421">
        <f t="shared" si="24"/>
        <v>0</v>
      </c>
      <c r="X77" s="425"/>
      <c r="Y77" s="425"/>
      <c r="Z77" s="421">
        <f t="shared" si="25"/>
        <v>0</v>
      </c>
      <c r="AA77" s="425"/>
      <c r="AB77" s="425"/>
      <c r="AC77" s="421">
        <f t="shared" si="26"/>
        <v>0</v>
      </c>
      <c r="AD77" s="425"/>
      <c r="AE77" s="425"/>
      <c r="AF77" s="421">
        <f t="shared" si="27"/>
        <v>0</v>
      </c>
      <c r="AG77" s="425"/>
      <c r="AH77" s="425"/>
      <c r="AI77" s="421">
        <f t="shared" si="28"/>
        <v>0</v>
      </c>
      <c r="AJ77" s="425"/>
      <c r="AK77" s="425"/>
      <c r="AL77" s="421">
        <f t="shared" si="29"/>
        <v>0</v>
      </c>
      <c r="AM77" s="425"/>
      <c r="AN77" s="425"/>
      <c r="AO77" s="421">
        <f t="shared" si="30"/>
        <v>0</v>
      </c>
      <c r="AP77" s="425"/>
      <c r="AQ77" s="425"/>
      <c r="AR77" s="421">
        <f t="shared" si="31"/>
        <v>0</v>
      </c>
      <c r="AS77" s="425"/>
      <c r="AT77" s="425"/>
      <c r="AU77" s="421">
        <f t="shared" si="32"/>
        <v>0</v>
      </c>
      <c r="AV77" s="425"/>
      <c r="AW77" s="425"/>
      <c r="AX77" s="421">
        <f t="shared" si="33"/>
        <v>0</v>
      </c>
      <c r="AY77" s="425"/>
      <c r="AZ77" s="425"/>
      <c r="BA77" s="421">
        <f t="shared" si="34"/>
        <v>0</v>
      </c>
      <c r="BB77" s="425"/>
      <c r="BC77" s="425"/>
      <c r="BD77" s="421">
        <f t="shared" si="35"/>
        <v>0</v>
      </c>
    </row>
    <row r="78" spans="1:56">
      <c r="A78" s="251"/>
      <c r="B78" s="259" t="s">
        <v>390</v>
      </c>
      <c r="C78" s="249">
        <v>2340</v>
      </c>
      <c r="D78" s="249">
        <v>2950</v>
      </c>
      <c r="E78" s="508">
        <f t="shared" si="44"/>
        <v>26.068376068376072</v>
      </c>
      <c r="F78" s="249">
        <v>8322</v>
      </c>
      <c r="G78" s="249">
        <v>10432</v>
      </c>
      <c r="H78" s="437">
        <f t="shared" si="45"/>
        <v>25.354482095650084</v>
      </c>
      <c r="I78" s="249"/>
      <c r="J78" s="249"/>
      <c r="K78" s="437">
        <f t="shared" si="46"/>
        <v>0</v>
      </c>
      <c r="L78" s="249"/>
      <c r="M78" s="249"/>
      <c r="N78" s="250">
        <f t="shared" si="47"/>
        <v>0</v>
      </c>
      <c r="O78" s="249"/>
      <c r="P78" s="249"/>
      <c r="Q78" s="250">
        <f t="shared" si="22"/>
        <v>0</v>
      </c>
      <c r="R78" s="249"/>
      <c r="S78" s="249"/>
      <c r="T78" s="250">
        <f t="shared" si="23"/>
        <v>0</v>
      </c>
      <c r="U78" s="249"/>
      <c r="V78" s="249"/>
      <c r="W78" s="250">
        <f t="shared" si="24"/>
        <v>0</v>
      </c>
      <c r="X78" s="249"/>
      <c r="Y78" s="249"/>
      <c r="Z78" s="250">
        <f t="shared" si="25"/>
        <v>0</v>
      </c>
      <c r="AA78" s="249"/>
      <c r="AB78" s="249"/>
      <c r="AC78" s="250">
        <f t="shared" si="26"/>
        <v>0</v>
      </c>
      <c r="AD78" s="249"/>
      <c r="AE78" s="249"/>
      <c r="AF78" s="250">
        <f t="shared" si="27"/>
        <v>0</v>
      </c>
      <c r="AG78" s="249"/>
      <c r="AH78" s="249"/>
      <c r="AI78" s="250">
        <f t="shared" si="28"/>
        <v>0</v>
      </c>
      <c r="AJ78" s="249"/>
      <c r="AK78" s="249"/>
      <c r="AL78" s="250">
        <f t="shared" si="29"/>
        <v>0</v>
      </c>
      <c r="AM78" s="249"/>
      <c r="AN78" s="249"/>
      <c r="AO78" s="250">
        <f t="shared" si="30"/>
        <v>0</v>
      </c>
      <c r="AP78" s="249"/>
      <c r="AQ78" s="249"/>
      <c r="AR78" s="250">
        <f t="shared" si="31"/>
        <v>0</v>
      </c>
      <c r="AS78" s="249"/>
      <c r="AT78" s="249"/>
      <c r="AU78" s="250">
        <f t="shared" si="32"/>
        <v>0</v>
      </c>
      <c r="AV78" s="249"/>
      <c r="AW78" s="249"/>
      <c r="AX78" s="250">
        <f t="shared" si="33"/>
        <v>0</v>
      </c>
      <c r="AY78" s="249"/>
      <c r="AZ78" s="249"/>
      <c r="BA78" s="250">
        <f t="shared" si="34"/>
        <v>0</v>
      </c>
      <c r="BB78" s="249"/>
      <c r="BC78" s="249"/>
      <c r="BD78" s="250">
        <f t="shared" si="35"/>
        <v>0</v>
      </c>
    </row>
    <row r="79" spans="1:56">
      <c r="A79" s="251"/>
      <c r="B79" s="259" t="s">
        <v>391</v>
      </c>
      <c r="C79" s="249">
        <v>2322</v>
      </c>
      <c r="D79" s="249">
        <v>2978</v>
      </c>
      <c r="E79" s="508">
        <f t="shared" si="44"/>
        <v>28.251507321274765</v>
      </c>
      <c r="F79" s="249">
        <v>7824</v>
      </c>
      <c r="G79" s="249">
        <v>9856</v>
      </c>
      <c r="H79" s="437">
        <f t="shared" si="45"/>
        <v>25.971370143149286</v>
      </c>
      <c r="I79" s="249"/>
      <c r="J79" s="249"/>
      <c r="K79" s="437">
        <f t="shared" si="46"/>
        <v>0</v>
      </c>
      <c r="L79" s="249"/>
      <c r="M79" s="249"/>
      <c r="N79" s="250">
        <f t="shared" si="47"/>
        <v>0</v>
      </c>
      <c r="O79" s="249"/>
      <c r="P79" s="249"/>
      <c r="Q79" s="250">
        <f t="shared" si="22"/>
        <v>0</v>
      </c>
      <c r="R79" s="249"/>
      <c r="S79" s="249"/>
      <c r="T79" s="250">
        <f t="shared" si="23"/>
        <v>0</v>
      </c>
      <c r="U79" s="249"/>
      <c r="V79" s="249"/>
      <c r="W79" s="250">
        <f t="shared" si="24"/>
        <v>0</v>
      </c>
      <c r="X79" s="249"/>
      <c r="Y79" s="249"/>
      <c r="Z79" s="250">
        <f t="shared" si="25"/>
        <v>0</v>
      </c>
      <c r="AA79" s="249"/>
      <c r="AB79" s="249"/>
      <c r="AC79" s="250">
        <f t="shared" si="26"/>
        <v>0</v>
      </c>
      <c r="AD79" s="249"/>
      <c r="AE79" s="249"/>
      <c r="AF79" s="250">
        <f t="shared" si="27"/>
        <v>0</v>
      </c>
      <c r="AG79" s="249"/>
      <c r="AH79" s="249"/>
      <c r="AI79" s="250">
        <f t="shared" si="28"/>
        <v>0</v>
      </c>
      <c r="AJ79" s="249"/>
      <c r="AK79" s="249"/>
      <c r="AL79" s="250">
        <f t="shared" si="29"/>
        <v>0</v>
      </c>
      <c r="AM79" s="249"/>
      <c r="AN79" s="249"/>
      <c r="AO79" s="250">
        <f t="shared" si="30"/>
        <v>0</v>
      </c>
      <c r="AP79" s="249"/>
      <c r="AQ79" s="249"/>
      <c r="AR79" s="250">
        <f t="shared" si="31"/>
        <v>0</v>
      </c>
      <c r="AS79" s="249"/>
      <c r="AT79" s="249"/>
      <c r="AU79" s="250">
        <f t="shared" si="32"/>
        <v>0</v>
      </c>
      <c r="AV79" s="249"/>
      <c r="AW79" s="249"/>
      <c r="AX79" s="250">
        <f t="shared" si="33"/>
        <v>0</v>
      </c>
      <c r="AY79" s="249"/>
      <c r="AZ79" s="249"/>
      <c r="BA79" s="250">
        <f t="shared" si="34"/>
        <v>0</v>
      </c>
      <c r="BB79" s="249"/>
      <c r="BC79" s="249"/>
      <c r="BD79" s="250">
        <f t="shared" si="35"/>
        <v>0</v>
      </c>
    </row>
    <row r="80" spans="1:56">
      <c r="A80" s="251"/>
      <c r="B80" s="259" t="s">
        <v>392</v>
      </c>
      <c r="C80" s="249">
        <v>2344</v>
      </c>
      <c r="D80" s="249">
        <v>2991</v>
      </c>
      <c r="E80" s="508">
        <f t="shared" si="44"/>
        <v>27.602389078498295</v>
      </c>
      <c r="F80" s="249">
        <v>8080</v>
      </c>
      <c r="G80" s="249">
        <v>10416</v>
      </c>
      <c r="H80" s="437">
        <f t="shared" si="45"/>
        <v>28.910891089108908</v>
      </c>
      <c r="I80" s="249"/>
      <c r="J80" s="249"/>
      <c r="K80" s="437">
        <f t="shared" si="46"/>
        <v>0</v>
      </c>
      <c r="L80" s="249"/>
      <c r="M80" s="249"/>
      <c r="N80" s="250">
        <f t="shared" si="47"/>
        <v>0</v>
      </c>
      <c r="O80" s="249"/>
      <c r="P80" s="249"/>
      <c r="Q80" s="250">
        <f t="shared" si="22"/>
        <v>0</v>
      </c>
      <c r="R80" s="249"/>
      <c r="S80" s="249"/>
      <c r="T80" s="250">
        <f t="shared" si="23"/>
        <v>0</v>
      </c>
      <c r="U80" s="249"/>
      <c r="V80" s="249"/>
      <c r="W80" s="250">
        <f t="shared" si="24"/>
        <v>0</v>
      </c>
      <c r="X80" s="249"/>
      <c r="Y80" s="249"/>
      <c r="Z80" s="250">
        <f t="shared" si="25"/>
        <v>0</v>
      </c>
      <c r="AA80" s="249"/>
      <c r="AB80" s="249"/>
      <c r="AC80" s="250">
        <f t="shared" si="26"/>
        <v>0</v>
      </c>
      <c r="AD80" s="249"/>
      <c r="AE80" s="249"/>
      <c r="AF80" s="250">
        <f t="shared" si="27"/>
        <v>0</v>
      </c>
      <c r="AG80" s="249"/>
      <c r="AH80" s="249"/>
      <c r="AI80" s="250">
        <f t="shared" si="28"/>
        <v>0</v>
      </c>
      <c r="AJ80" s="249"/>
      <c r="AK80" s="249"/>
      <c r="AL80" s="250">
        <f t="shared" si="29"/>
        <v>0</v>
      </c>
      <c r="AM80" s="249"/>
      <c r="AN80" s="249"/>
      <c r="AO80" s="250">
        <f t="shared" si="30"/>
        <v>0</v>
      </c>
      <c r="AP80" s="249"/>
      <c r="AQ80" s="249"/>
      <c r="AR80" s="250">
        <f t="shared" si="31"/>
        <v>0</v>
      </c>
      <c r="AS80" s="249"/>
      <c r="AT80" s="249"/>
      <c r="AU80" s="250">
        <f t="shared" si="32"/>
        <v>0</v>
      </c>
      <c r="AV80" s="249"/>
      <c r="AW80" s="249"/>
      <c r="AX80" s="250">
        <f t="shared" si="33"/>
        <v>0</v>
      </c>
      <c r="AY80" s="249"/>
      <c r="AZ80" s="249"/>
      <c r="BA80" s="250">
        <f t="shared" si="34"/>
        <v>0</v>
      </c>
      <c r="BB80" s="249"/>
      <c r="BC80" s="249"/>
      <c r="BD80" s="250">
        <f t="shared" si="35"/>
        <v>0</v>
      </c>
    </row>
    <row r="81" spans="1:56">
      <c r="A81" s="251"/>
      <c r="B81" s="259" t="s">
        <v>196</v>
      </c>
      <c r="C81" s="249">
        <v>2079</v>
      </c>
      <c r="D81" s="249">
        <v>2774</v>
      </c>
      <c r="E81" s="508">
        <f t="shared" si="44"/>
        <v>33.429533429533429</v>
      </c>
      <c r="F81" s="249">
        <v>7581</v>
      </c>
      <c r="G81" s="249">
        <v>9652</v>
      </c>
      <c r="H81" s="437">
        <f t="shared" si="45"/>
        <v>27.318295739348368</v>
      </c>
      <c r="I81" s="249"/>
      <c r="J81" s="249"/>
      <c r="K81" s="437">
        <f t="shared" si="46"/>
        <v>0</v>
      </c>
      <c r="L81" s="249"/>
      <c r="M81" s="249"/>
      <c r="N81" s="250">
        <f t="shared" si="47"/>
        <v>0</v>
      </c>
      <c r="O81" s="249"/>
      <c r="P81" s="249"/>
      <c r="Q81" s="250">
        <f t="shared" si="22"/>
        <v>0</v>
      </c>
      <c r="R81" s="249"/>
      <c r="S81" s="249"/>
      <c r="T81" s="250">
        <f t="shared" si="23"/>
        <v>0</v>
      </c>
      <c r="U81" s="249"/>
      <c r="V81" s="249"/>
      <c r="W81" s="250">
        <f t="shared" si="24"/>
        <v>0</v>
      </c>
      <c r="X81" s="249"/>
      <c r="Y81" s="249"/>
      <c r="Z81" s="250">
        <f t="shared" si="25"/>
        <v>0</v>
      </c>
      <c r="AA81" s="249"/>
      <c r="AB81" s="249"/>
      <c r="AC81" s="250">
        <f t="shared" si="26"/>
        <v>0</v>
      </c>
      <c r="AD81" s="249"/>
      <c r="AE81" s="249"/>
      <c r="AF81" s="250">
        <f t="shared" si="27"/>
        <v>0</v>
      </c>
      <c r="AG81" s="249"/>
      <c r="AH81" s="249"/>
      <c r="AI81" s="250">
        <f t="shared" si="28"/>
        <v>0</v>
      </c>
      <c r="AJ81" s="249"/>
      <c r="AK81" s="249"/>
      <c r="AL81" s="250">
        <f t="shared" si="29"/>
        <v>0</v>
      </c>
      <c r="AM81" s="249"/>
      <c r="AN81" s="249"/>
      <c r="AO81" s="250">
        <f t="shared" si="30"/>
        <v>0</v>
      </c>
      <c r="AP81" s="249"/>
      <c r="AQ81" s="249"/>
      <c r="AR81" s="250">
        <f t="shared" si="31"/>
        <v>0</v>
      </c>
      <c r="AS81" s="249"/>
      <c r="AT81" s="249"/>
      <c r="AU81" s="250">
        <f t="shared" si="32"/>
        <v>0</v>
      </c>
      <c r="AV81" s="249"/>
      <c r="AW81" s="249"/>
      <c r="AX81" s="250">
        <f t="shared" si="33"/>
        <v>0</v>
      </c>
      <c r="AY81" s="249"/>
      <c r="AZ81" s="249"/>
      <c r="BA81" s="250">
        <f t="shared" si="34"/>
        <v>0</v>
      </c>
      <c r="BB81" s="249"/>
      <c r="BC81" s="249"/>
      <c r="BD81" s="250">
        <f t="shared" si="35"/>
        <v>0</v>
      </c>
    </row>
    <row r="82" spans="1:56" s="255" customFormat="1" ht="20.25" customHeight="1">
      <c r="A82" s="252"/>
      <c r="B82" s="431" t="s">
        <v>550</v>
      </c>
      <c r="C82" s="425">
        <v>2303</v>
      </c>
      <c r="D82" s="425">
        <v>2954</v>
      </c>
      <c r="E82" s="509">
        <f t="shared" si="44"/>
        <v>28.267477203647417</v>
      </c>
      <c r="F82" s="425">
        <v>7826</v>
      </c>
      <c r="G82" s="425">
        <v>9893</v>
      </c>
      <c r="H82" s="438">
        <f t="shared" si="45"/>
        <v>26.411960132890368</v>
      </c>
      <c r="I82" s="425"/>
      <c r="J82" s="425"/>
      <c r="K82" s="438">
        <f t="shared" si="46"/>
        <v>0</v>
      </c>
      <c r="L82" s="425"/>
      <c r="M82" s="425"/>
      <c r="N82" s="421">
        <f t="shared" si="47"/>
        <v>0</v>
      </c>
      <c r="O82" s="425"/>
      <c r="P82" s="425"/>
      <c r="Q82" s="421">
        <f t="shared" si="22"/>
        <v>0</v>
      </c>
      <c r="R82" s="425"/>
      <c r="S82" s="425"/>
      <c r="T82" s="421">
        <f t="shared" si="23"/>
        <v>0</v>
      </c>
      <c r="U82" s="425"/>
      <c r="V82" s="425"/>
      <c r="W82" s="421">
        <f t="shared" si="24"/>
        <v>0</v>
      </c>
      <c r="X82" s="425"/>
      <c r="Y82" s="425"/>
      <c r="Z82" s="421">
        <f t="shared" si="25"/>
        <v>0</v>
      </c>
      <c r="AA82" s="425"/>
      <c r="AB82" s="425"/>
      <c r="AC82" s="421">
        <f t="shared" si="26"/>
        <v>0</v>
      </c>
      <c r="AD82" s="425"/>
      <c r="AE82" s="425"/>
      <c r="AF82" s="421">
        <f t="shared" si="27"/>
        <v>0</v>
      </c>
      <c r="AG82" s="425"/>
      <c r="AH82" s="425"/>
      <c r="AI82" s="421">
        <f t="shared" si="28"/>
        <v>0</v>
      </c>
      <c r="AJ82" s="425"/>
      <c r="AK82" s="425"/>
      <c r="AL82" s="421">
        <f t="shared" si="29"/>
        <v>0</v>
      </c>
      <c r="AM82" s="425"/>
      <c r="AN82" s="425"/>
      <c r="AO82" s="421">
        <f t="shared" si="30"/>
        <v>0</v>
      </c>
      <c r="AP82" s="425"/>
      <c r="AQ82" s="425"/>
      <c r="AR82" s="421">
        <f t="shared" si="31"/>
        <v>0</v>
      </c>
      <c r="AS82" s="425"/>
      <c r="AT82" s="425"/>
      <c r="AU82" s="421">
        <f t="shared" si="32"/>
        <v>0</v>
      </c>
      <c r="AV82" s="425"/>
      <c r="AW82" s="425"/>
      <c r="AX82" s="421">
        <f t="shared" si="33"/>
        <v>0</v>
      </c>
      <c r="AY82" s="425"/>
      <c r="AZ82" s="425"/>
      <c r="BA82" s="421">
        <f t="shared" si="34"/>
        <v>0</v>
      </c>
      <c r="BB82" s="425"/>
      <c r="BC82" s="425"/>
      <c r="BD82" s="421">
        <f t="shared" si="35"/>
        <v>0</v>
      </c>
    </row>
    <row r="83" spans="1:56">
      <c r="A83" s="251"/>
      <c r="B83" s="259" t="s">
        <v>197</v>
      </c>
      <c r="C83" s="249">
        <v>1543.5</v>
      </c>
      <c r="D83" s="249">
        <v>2055</v>
      </c>
      <c r="E83" s="508">
        <f t="shared" si="44"/>
        <v>33.138969873663754</v>
      </c>
      <c r="F83" s="249">
        <v>2839.5</v>
      </c>
      <c r="G83" s="249">
        <v>3855</v>
      </c>
      <c r="H83" s="437">
        <f t="shared" si="45"/>
        <v>35.763338615953508</v>
      </c>
      <c r="I83" s="249"/>
      <c r="J83" s="249"/>
      <c r="K83" s="437">
        <f t="shared" si="46"/>
        <v>0</v>
      </c>
      <c r="L83" s="425"/>
      <c r="M83" s="249"/>
      <c r="N83" s="250">
        <f t="shared" si="47"/>
        <v>0</v>
      </c>
      <c r="O83" s="249"/>
      <c r="P83" s="249"/>
      <c r="Q83" s="250">
        <f t="shared" si="22"/>
        <v>0</v>
      </c>
      <c r="R83" s="249"/>
      <c r="S83" s="249"/>
      <c r="T83" s="250">
        <f t="shared" si="23"/>
        <v>0</v>
      </c>
      <c r="U83" s="249"/>
      <c r="V83" s="249"/>
      <c r="W83" s="250">
        <f t="shared" si="24"/>
        <v>0</v>
      </c>
      <c r="X83" s="249"/>
      <c r="Y83" s="249"/>
      <c r="Z83" s="250">
        <f t="shared" si="25"/>
        <v>0</v>
      </c>
      <c r="AA83" s="249"/>
      <c r="AB83" s="249"/>
      <c r="AC83" s="250">
        <f t="shared" si="26"/>
        <v>0</v>
      </c>
      <c r="AD83" s="249"/>
      <c r="AE83" s="249"/>
      <c r="AF83" s="250">
        <f t="shared" si="27"/>
        <v>0</v>
      </c>
      <c r="AG83" s="249"/>
      <c r="AH83" s="249"/>
      <c r="AI83" s="250">
        <f t="shared" si="28"/>
        <v>0</v>
      </c>
      <c r="AJ83" s="249"/>
      <c r="AK83" s="249"/>
      <c r="AL83" s="250">
        <f t="shared" si="29"/>
        <v>0</v>
      </c>
      <c r="AM83" s="249"/>
      <c r="AN83" s="249"/>
      <c r="AO83" s="250">
        <f t="shared" si="30"/>
        <v>0</v>
      </c>
      <c r="AP83" s="249"/>
      <c r="AQ83" s="249"/>
      <c r="AR83" s="250">
        <f t="shared" si="31"/>
        <v>0</v>
      </c>
      <c r="AS83" s="249"/>
      <c r="AT83" s="249"/>
      <c r="AU83" s="250">
        <f t="shared" si="32"/>
        <v>0</v>
      </c>
      <c r="AV83" s="249"/>
      <c r="AW83" s="249"/>
      <c r="AX83" s="250">
        <f t="shared" si="33"/>
        <v>0</v>
      </c>
      <c r="AY83" s="249"/>
      <c r="AZ83" s="249"/>
      <c r="BA83" s="250">
        <f t="shared" si="34"/>
        <v>0</v>
      </c>
      <c r="BB83" s="249"/>
      <c r="BC83" s="249"/>
      <c r="BD83" s="250">
        <f t="shared" si="35"/>
        <v>0</v>
      </c>
    </row>
    <row r="84" spans="1:56">
      <c r="A84" s="251"/>
      <c r="B84" s="259" t="s">
        <v>326</v>
      </c>
      <c r="C84" s="249">
        <v>1539</v>
      </c>
      <c r="D84" s="249">
        <v>2043</v>
      </c>
      <c r="E84" s="508">
        <f t="shared" si="44"/>
        <v>32.748538011695906</v>
      </c>
      <c r="F84" s="249">
        <v>2835</v>
      </c>
      <c r="G84" s="249">
        <v>3843</v>
      </c>
      <c r="H84" s="437">
        <f t="shared" si="45"/>
        <v>35.555555555555557</v>
      </c>
      <c r="I84" s="249"/>
      <c r="J84" s="249"/>
      <c r="K84" s="437">
        <f t="shared" si="46"/>
        <v>0</v>
      </c>
      <c r="L84" s="249"/>
      <c r="M84" s="249"/>
      <c r="N84" s="250">
        <f t="shared" si="47"/>
        <v>0</v>
      </c>
      <c r="O84" s="249"/>
      <c r="P84" s="249"/>
      <c r="Q84" s="250">
        <f t="shared" ref="Q84:Q147" si="48">IF(O84&gt;0,(((P84-O84)/O84)*100),0)</f>
        <v>0</v>
      </c>
      <c r="R84" s="249"/>
      <c r="S84" s="249"/>
      <c r="T84" s="250">
        <f t="shared" ref="T84:T147" si="49">IF(R84&gt;0,(((S84-R84)/R84)*100),0)</f>
        <v>0</v>
      </c>
      <c r="U84" s="249"/>
      <c r="V84" s="249"/>
      <c r="W84" s="250">
        <f t="shared" ref="W84:W147" si="50">IF(U84&gt;0,(((V84-U84)/U84)*100),0)</f>
        <v>0</v>
      </c>
      <c r="X84" s="249"/>
      <c r="Y84" s="249"/>
      <c r="Z84" s="250">
        <f t="shared" ref="Z84:Z147" si="51">IF(X84&gt;0,(((Y84-X84)/X84)*100),0)</f>
        <v>0</v>
      </c>
      <c r="AA84" s="249"/>
      <c r="AB84" s="249"/>
      <c r="AC84" s="250">
        <f t="shared" ref="AC84:AC147" si="52">IF(AA84&gt;0,(((AB84-AA84)/AA84)*100),0)</f>
        <v>0</v>
      </c>
      <c r="AD84" s="249"/>
      <c r="AE84" s="249"/>
      <c r="AF84" s="250">
        <f t="shared" ref="AF84:AF147" si="53">IF(AD84&gt;0,(((AE84-AD84)/AD84)*100),0)</f>
        <v>0</v>
      </c>
      <c r="AG84" s="249"/>
      <c r="AH84" s="249"/>
      <c r="AI84" s="250">
        <f t="shared" ref="AI84:AI147" si="54">IF(AG84&gt;0,(((AH84-AG84)/AG84)*100),0)</f>
        <v>0</v>
      </c>
      <c r="AJ84" s="249"/>
      <c r="AK84" s="249"/>
      <c r="AL84" s="250">
        <f t="shared" ref="AL84:AL147" si="55">IF(AJ84&gt;0,(((AK84-AJ84)/AJ84)*100),0)</f>
        <v>0</v>
      </c>
      <c r="AM84" s="249"/>
      <c r="AN84" s="249"/>
      <c r="AO84" s="250">
        <f t="shared" ref="AO84:AO147" si="56">IF(AM84&gt;0,(((AN84-AM84)/AM84)*100),0)</f>
        <v>0</v>
      </c>
      <c r="AP84" s="249"/>
      <c r="AQ84" s="249"/>
      <c r="AR84" s="250">
        <f t="shared" ref="AR84:AR147" si="57">IF(AP84&gt;0,(((AQ84-AP84)/AP84)*100),0)</f>
        <v>0</v>
      </c>
      <c r="AS84" s="249"/>
      <c r="AT84" s="249"/>
      <c r="AU84" s="250">
        <f t="shared" ref="AU84:AU147" si="58">IF(AS84&gt;0,(((AT84-AS84)/AS84)*100),0)</f>
        <v>0</v>
      </c>
      <c r="AV84" s="249"/>
      <c r="AW84" s="249"/>
      <c r="AX84" s="250">
        <f t="shared" ref="AX84:AX147" si="59">IF(AV84&gt;0,(((AW84-AV84)/AV84)*100),0)</f>
        <v>0</v>
      </c>
      <c r="AY84" s="249"/>
      <c r="AZ84" s="249"/>
      <c r="BA84" s="250">
        <f t="shared" ref="BA84:BA147" si="60">IF(AY84&gt;0,(((AZ84-AY84)/AY84)*100),0)</f>
        <v>0</v>
      </c>
      <c r="BB84" s="249"/>
      <c r="BC84" s="249"/>
      <c r="BD84" s="250">
        <f t="shared" ref="BD84:BD147" si="61">IF(BB84&gt;0,(((BC84-BB84)/BB84)*100),0)</f>
        <v>0</v>
      </c>
    </row>
    <row r="85" spans="1:56">
      <c r="A85" s="251"/>
      <c r="B85" s="259" t="s">
        <v>327</v>
      </c>
      <c r="C85" s="249"/>
      <c r="D85" s="249"/>
      <c r="E85" s="508"/>
      <c r="F85" s="249"/>
      <c r="G85" s="249"/>
      <c r="H85" s="437">
        <f t="shared" si="45"/>
        <v>0</v>
      </c>
      <c r="I85" s="249"/>
      <c r="J85" s="249"/>
      <c r="K85" s="437">
        <f t="shared" si="46"/>
        <v>0</v>
      </c>
      <c r="L85" s="249"/>
      <c r="M85" s="249"/>
      <c r="N85" s="250">
        <f t="shared" si="47"/>
        <v>0</v>
      </c>
      <c r="O85" s="249"/>
      <c r="P85" s="249"/>
      <c r="Q85" s="250">
        <f t="shared" si="48"/>
        <v>0</v>
      </c>
      <c r="R85" s="249"/>
      <c r="S85" s="249"/>
      <c r="T85" s="250">
        <f t="shared" si="49"/>
        <v>0</v>
      </c>
      <c r="U85" s="249"/>
      <c r="V85" s="249"/>
      <c r="W85" s="250">
        <f t="shared" si="50"/>
        <v>0</v>
      </c>
      <c r="X85" s="249"/>
      <c r="Y85" s="249"/>
      <c r="Z85" s="250">
        <f t="shared" si="51"/>
        <v>0</v>
      </c>
      <c r="AA85" s="249"/>
      <c r="AB85" s="249"/>
      <c r="AC85" s="250">
        <f t="shared" si="52"/>
        <v>0</v>
      </c>
      <c r="AD85" s="249"/>
      <c r="AE85" s="249"/>
      <c r="AF85" s="250">
        <f t="shared" si="53"/>
        <v>0</v>
      </c>
      <c r="AG85" s="249"/>
      <c r="AH85" s="249"/>
      <c r="AI85" s="250">
        <f t="shared" si="54"/>
        <v>0</v>
      </c>
      <c r="AJ85" s="249"/>
      <c r="AK85" s="249"/>
      <c r="AL85" s="250">
        <f t="shared" si="55"/>
        <v>0</v>
      </c>
      <c r="AM85" s="249"/>
      <c r="AN85" s="249"/>
      <c r="AO85" s="250">
        <f t="shared" si="56"/>
        <v>0</v>
      </c>
      <c r="AP85" s="249"/>
      <c r="AQ85" s="249"/>
      <c r="AR85" s="250">
        <f t="shared" si="57"/>
        <v>0</v>
      </c>
      <c r="AS85" s="249"/>
      <c r="AT85" s="249"/>
      <c r="AU85" s="250">
        <f t="shared" si="58"/>
        <v>0</v>
      </c>
      <c r="AV85" s="249"/>
      <c r="AW85" s="249"/>
      <c r="AX85" s="250">
        <f t="shared" si="59"/>
        <v>0</v>
      </c>
      <c r="AY85" s="249"/>
      <c r="AZ85" s="249"/>
      <c r="BA85" s="250">
        <f t="shared" si="60"/>
        <v>0</v>
      </c>
      <c r="BB85" s="249"/>
      <c r="BC85" s="249"/>
      <c r="BD85" s="250">
        <f t="shared" si="61"/>
        <v>0</v>
      </c>
    </row>
    <row r="86" spans="1:56" s="255" customFormat="1">
      <c r="A86" s="252"/>
      <c r="B86" s="427" t="s">
        <v>315</v>
      </c>
      <c r="C86" s="253">
        <v>1539</v>
      </c>
      <c r="D86" s="253">
        <v>2044.5</v>
      </c>
      <c r="E86" s="511">
        <f>IF(C86&gt;0,(((D86-C86)/C86)*100),0)</f>
        <v>32.84600389863548</v>
      </c>
      <c r="F86" s="253">
        <v>2835</v>
      </c>
      <c r="G86" s="253">
        <v>3844.5</v>
      </c>
      <c r="H86" s="440">
        <f t="shared" si="45"/>
        <v>35.608465608465607</v>
      </c>
      <c r="I86" s="253"/>
      <c r="J86" s="253"/>
      <c r="K86" s="440">
        <f t="shared" si="46"/>
        <v>0</v>
      </c>
      <c r="L86" s="253"/>
      <c r="M86" s="253"/>
      <c r="N86" s="254">
        <f t="shared" si="47"/>
        <v>0</v>
      </c>
      <c r="O86" s="253"/>
      <c r="P86" s="253"/>
      <c r="Q86" s="254">
        <f t="shared" si="48"/>
        <v>0</v>
      </c>
      <c r="R86" s="253"/>
      <c r="S86" s="253"/>
      <c r="T86" s="254">
        <f t="shared" si="49"/>
        <v>0</v>
      </c>
      <c r="U86" s="253"/>
      <c r="V86" s="253"/>
      <c r="W86" s="254">
        <f t="shared" si="50"/>
        <v>0</v>
      </c>
      <c r="X86" s="253"/>
      <c r="Y86" s="253"/>
      <c r="Z86" s="254">
        <f t="shared" si="51"/>
        <v>0</v>
      </c>
      <c r="AA86" s="253"/>
      <c r="AB86" s="253"/>
      <c r="AC86" s="254">
        <f t="shared" si="52"/>
        <v>0</v>
      </c>
      <c r="AD86" s="253"/>
      <c r="AE86" s="253"/>
      <c r="AF86" s="254">
        <f t="shared" si="53"/>
        <v>0</v>
      </c>
      <c r="AG86" s="253"/>
      <c r="AH86" s="253"/>
      <c r="AI86" s="254">
        <f t="shared" si="54"/>
        <v>0</v>
      </c>
      <c r="AJ86" s="253"/>
      <c r="AK86" s="253"/>
      <c r="AL86" s="254">
        <f t="shared" si="55"/>
        <v>0</v>
      </c>
      <c r="AM86" s="253"/>
      <c r="AN86" s="253"/>
      <c r="AO86" s="254">
        <f t="shared" si="56"/>
        <v>0</v>
      </c>
      <c r="AP86" s="253"/>
      <c r="AQ86" s="253"/>
      <c r="AR86" s="254">
        <f t="shared" si="57"/>
        <v>0</v>
      </c>
      <c r="AS86" s="253"/>
      <c r="AT86" s="253"/>
      <c r="AU86" s="254">
        <f t="shared" si="58"/>
        <v>0</v>
      </c>
      <c r="AV86" s="253"/>
      <c r="AW86" s="253"/>
      <c r="AX86" s="254">
        <f t="shared" si="59"/>
        <v>0</v>
      </c>
      <c r="AY86" s="253"/>
      <c r="AZ86" s="253"/>
      <c r="BA86" s="254">
        <f t="shared" si="60"/>
        <v>0</v>
      </c>
      <c r="BB86" s="253"/>
      <c r="BC86" s="253"/>
      <c r="BD86" s="254">
        <f t="shared" si="61"/>
        <v>0</v>
      </c>
    </row>
    <row r="87" spans="1:56">
      <c r="A87" s="256"/>
      <c r="B87" s="428" t="s">
        <v>198</v>
      </c>
      <c r="C87" s="257"/>
      <c r="D87" s="257"/>
      <c r="E87" s="510"/>
      <c r="F87" s="257"/>
      <c r="G87" s="257"/>
      <c r="H87" s="439"/>
      <c r="I87" s="257"/>
      <c r="J87" s="257"/>
      <c r="K87" s="439"/>
      <c r="L87" s="257"/>
      <c r="M87" s="257"/>
      <c r="N87" s="258"/>
      <c r="O87" s="257">
        <v>11825</v>
      </c>
      <c r="P87" s="257">
        <v>13186</v>
      </c>
      <c r="Q87" s="258">
        <f t="shared" si="48"/>
        <v>11.509513742071881</v>
      </c>
      <c r="R87" s="257">
        <v>30078</v>
      </c>
      <c r="S87" s="257">
        <v>31587</v>
      </c>
      <c r="T87" s="258">
        <f t="shared" si="49"/>
        <v>5.0169559146219829</v>
      </c>
      <c r="U87" s="257">
        <v>15604</v>
      </c>
      <c r="V87" s="257">
        <v>18138</v>
      </c>
      <c r="W87" s="258">
        <f t="shared" si="50"/>
        <v>16.239425788259421</v>
      </c>
      <c r="X87" s="257">
        <v>15604</v>
      </c>
      <c r="Y87" s="257">
        <v>31988</v>
      </c>
      <c r="Z87" s="466">
        <f t="shared" si="51"/>
        <v>104.99871827736477</v>
      </c>
      <c r="AA87" s="257">
        <v>11646</v>
      </c>
      <c r="AB87" s="257">
        <v>13586</v>
      </c>
      <c r="AC87" s="258">
        <f t="shared" si="52"/>
        <v>16.658080027477247</v>
      </c>
      <c r="AD87" s="257">
        <v>40436</v>
      </c>
      <c r="AE87" s="257">
        <v>40736</v>
      </c>
      <c r="AF87" s="258">
        <f t="shared" si="53"/>
        <v>0.74191314670095954</v>
      </c>
      <c r="AG87" s="257">
        <v>11206</v>
      </c>
      <c r="AH87" s="257">
        <v>12816</v>
      </c>
      <c r="AI87" s="258">
        <f t="shared" si="54"/>
        <v>14.367303230412279</v>
      </c>
      <c r="AJ87" s="257">
        <v>28970</v>
      </c>
      <c r="AK87" s="257">
        <v>30790</v>
      </c>
      <c r="AL87" s="258">
        <f t="shared" si="55"/>
        <v>6.2823610631687954</v>
      </c>
      <c r="AM87" s="257"/>
      <c r="AN87" s="257"/>
      <c r="AO87" s="258">
        <f t="shared" si="56"/>
        <v>0</v>
      </c>
      <c r="AP87" s="257"/>
      <c r="AQ87" s="257"/>
      <c r="AR87" s="258">
        <f t="shared" si="57"/>
        <v>0</v>
      </c>
      <c r="AS87" s="257"/>
      <c r="AT87" s="257"/>
      <c r="AU87" s="258">
        <f t="shared" si="58"/>
        <v>0</v>
      </c>
      <c r="AV87" s="257"/>
      <c r="AW87" s="257"/>
      <c r="AX87" s="258">
        <f t="shared" si="59"/>
        <v>0</v>
      </c>
      <c r="AY87" s="257">
        <v>13222</v>
      </c>
      <c r="AZ87" s="257">
        <v>14330</v>
      </c>
      <c r="BA87" s="258">
        <f t="shared" si="60"/>
        <v>8.3799727726516409</v>
      </c>
      <c r="BB87" s="257">
        <v>34892</v>
      </c>
      <c r="BC87" s="257">
        <v>36000</v>
      </c>
      <c r="BD87" s="258">
        <f t="shared" si="61"/>
        <v>3.1755130115785852</v>
      </c>
    </row>
    <row r="88" spans="1:56">
      <c r="A88" s="247" t="s">
        <v>135</v>
      </c>
      <c r="B88" s="259" t="s">
        <v>384</v>
      </c>
      <c r="C88" s="249">
        <v>7706</v>
      </c>
      <c r="D88" s="249">
        <v>8092.5</v>
      </c>
      <c r="E88" s="508">
        <f t="shared" ref="E88:E101" si="62">IF(C88&gt;0,(((D88-C88)/C88)*100),0)</f>
        <v>5.0155722813392156</v>
      </c>
      <c r="F88" s="249">
        <v>17172</v>
      </c>
      <c r="G88" s="249">
        <v>18031</v>
      </c>
      <c r="H88" s="437">
        <f t="shared" ref="H88:H103" si="63">IF(F88&gt;0,(((G88-F88)/F88)*100),0)</f>
        <v>5.0023293733985552</v>
      </c>
      <c r="I88" s="249">
        <v>8283</v>
      </c>
      <c r="J88" s="249">
        <v>8700</v>
      </c>
      <c r="K88" s="437">
        <f t="shared" ref="K88:K103" si="64">IF(I88&gt;0,(((J88-I88)/I88)*100),0)</f>
        <v>5.0344078232524447</v>
      </c>
      <c r="L88" s="249">
        <v>17659</v>
      </c>
      <c r="M88" s="249">
        <v>18296.5</v>
      </c>
      <c r="N88" s="250">
        <f t="shared" ref="N88:N103" si="65">IF(L88&gt;0,(((M88-L88)/L88)*100),0)</f>
        <v>3.6100571946316329</v>
      </c>
      <c r="O88" s="249"/>
      <c r="P88" s="249"/>
      <c r="Q88" s="250">
        <f t="shared" si="48"/>
        <v>0</v>
      </c>
      <c r="R88" s="249"/>
      <c r="S88" s="249"/>
      <c r="T88" s="250">
        <f t="shared" si="49"/>
        <v>0</v>
      </c>
      <c r="U88" s="249"/>
      <c r="V88" s="249"/>
      <c r="W88" s="250">
        <f t="shared" si="50"/>
        <v>0</v>
      </c>
      <c r="X88" s="249"/>
      <c r="Y88" s="249"/>
      <c r="Z88" s="250">
        <f t="shared" si="51"/>
        <v>0</v>
      </c>
      <c r="AA88" s="249"/>
      <c r="AB88" s="249"/>
      <c r="AC88" s="250">
        <f t="shared" si="52"/>
        <v>0</v>
      </c>
      <c r="AD88" s="249"/>
      <c r="AE88" s="249"/>
      <c r="AF88" s="250">
        <f t="shared" si="53"/>
        <v>0</v>
      </c>
      <c r="AG88" s="249"/>
      <c r="AH88" s="249"/>
      <c r="AI88" s="250">
        <f t="shared" si="54"/>
        <v>0</v>
      </c>
      <c r="AJ88" s="249"/>
      <c r="AK88" s="249"/>
      <c r="AL88" s="250">
        <f t="shared" si="55"/>
        <v>0</v>
      </c>
      <c r="AM88" s="249"/>
      <c r="AN88" s="249"/>
      <c r="AO88" s="250">
        <f t="shared" si="56"/>
        <v>0</v>
      </c>
      <c r="AP88" s="249"/>
      <c r="AQ88" s="249"/>
      <c r="AR88" s="250">
        <f t="shared" si="57"/>
        <v>0</v>
      </c>
      <c r="AS88" s="249"/>
      <c r="AT88" s="249"/>
      <c r="AU88" s="250">
        <f t="shared" si="58"/>
        <v>0</v>
      </c>
      <c r="AV88" s="249"/>
      <c r="AW88" s="249"/>
      <c r="AX88" s="250">
        <f t="shared" si="59"/>
        <v>0</v>
      </c>
      <c r="AY88" s="249"/>
      <c r="AZ88" s="249"/>
      <c r="BA88" s="250">
        <f t="shared" si="60"/>
        <v>0</v>
      </c>
      <c r="BB88" s="249"/>
      <c r="BC88" s="249"/>
      <c r="BD88" s="250">
        <f t="shared" si="61"/>
        <v>0</v>
      </c>
    </row>
    <row r="89" spans="1:56">
      <c r="A89" s="251"/>
      <c r="B89" s="259" t="s">
        <v>385</v>
      </c>
      <c r="C89" s="249"/>
      <c r="D89" s="249"/>
      <c r="E89" s="508">
        <f t="shared" si="62"/>
        <v>0</v>
      </c>
      <c r="F89" s="249"/>
      <c r="G89" s="249"/>
      <c r="H89" s="437">
        <f t="shared" si="63"/>
        <v>0</v>
      </c>
      <c r="I89" s="249"/>
      <c r="J89" s="249"/>
      <c r="K89" s="437">
        <f t="shared" si="64"/>
        <v>0</v>
      </c>
      <c r="L89" s="249"/>
      <c r="M89" s="249"/>
      <c r="N89" s="250">
        <f t="shared" si="65"/>
        <v>0</v>
      </c>
      <c r="O89" s="249"/>
      <c r="P89" s="249"/>
      <c r="Q89" s="250">
        <f t="shared" si="48"/>
        <v>0</v>
      </c>
      <c r="R89" s="249"/>
      <c r="S89" s="249"/>
      <c r="T89" s="250">
        <f t="shared" si="49"/>
        <v>0</v>
      </c>
      <c r="U89" s="249"/>
      <c r="V89" s="249"/>
      <c r="W89" s="250">
        <f t="shared" si="50"/>
        <v>0</v>
      </c>
      <c r="X89" s="249"/>
      <c r="Y89" s="249"/>
      <c r="Z89" s="250">
        <f t="shared" si="51"/>
        <v>0</v>
      </c>
      <c r="AA89" s="249"/>
      <c r="AB89" s="249"/>
      <c r="AC89" s="250">
        <f t="shared" si="52"/>
        <v>0</v>
      </c>
      <c r="AD89" s="249"/>
      <c r="AE89" s="249"/>
      <c r="AF89" s="250">
        <f t="shared" si="53"/>
        <v>0</v>
      </c>
      <c r="AG89" s="249"/>
      <c r="AH89" s="249"/>
      <c r="AI89" s="250">
        <f t="shared" si="54"/>
        <v>0</v>
      </c>
      <c r="AJ89" s="249"/>
      <c r="AK89" s="249"/>
      <c r="AL89" s="250">
        <f t="shared" si="55"/>
        <v>0</v>
      </c>
      <c r="AM89" s="249"/>
      <c r="AN89" s="249"/>
      <c r="AO89" s="250">
        <f t="shared" si="56"/>
        <v>0</v>
      </c>
      <c r="AP89" s="249"/>
      <c r="AQ89" s="249"/>
      <c r="AR89" s="250">
        <f t="shared" si="57"/>
        <v>0</v>
      </c>
      <c r="AS89" s="249"/>
      <c r="AT89" s="249"/>
      <c r="AU89" s="250">
        <f t="shared" si="58"/>
        <v>0</v>
      </c>
      <c r="AV89" s="249"/>
      <c r="AW89" s="249"/>
      <c r="AX89" s="250">
        <f t="shared" si="59"/>
        <v>0</v>
      </c>
      <c r="AY89" s="249"/>
      <c r="AZ89" s="249"/>
      <c r="BA89" s="250">
        <f t="shared" si="60"/>
        <v>0</v>
      </c>
      <c r="BB89" s="249"/>
      <c r="BC89" s="249"/>
      <c r="BD89" s="250">
        <f t="shared" si="61"/>
        <v>0</v>
      </c>
    </row>
    <row r="90" spans="1:56">
      <c r="A90" s="251"/>
      <c r="B90" s="259" t="s">
        <v>386</v>
      </c>
      <c r="C90" s="249">
        <v>6080</v>
      </c>
      <c r="D90" s="249">
        <v>6312</v>
      </c>
      <c r="E90" s="508">
        <f t="shared" si="62"/>
        <v>3.8157894736842106</v>
      </c>
      <c r="F90" s="249">
        <v>16612</v>
      </c>
      <c r="G90" s="249">
        <v>17280</v>
      </c>
      <c r="H90" s="437">
        <f t="shared" si="63"/>
        <v>4.021189501565134</v>
      </c>
      <c r="I90" s="249">
        <v>6632</v>
      </c>
      <c r="J90" s="249">
        <v>7920</v>
      </c>
      <c r="K90" s="437">
        <f t="shared" si="64"/>
        <v>19.420989143546443</v>
      </c>
      <c r="L90" s="249">
        <v>18186</v>
      </c>
      <c r="M90" s="249">
        <v>18384</v>
      </c>
      <c r="N90" s="250">
        <f t="shared" si="65"/>
        <v>1.0887495875948532</v>
      </c>
      <c r="O90" s="249"/>
      <c r="P90" s="249"/>
      <c r="Q90" s="250">
        <f t="shared" si="48"/>
        <v>0</v>
      </c>
      <c r="R90" s="249"/>
      <c r="S90" s="249"/>
      <c r="T90" s="250">
        <f t="shared" si="49"/>
        <v>0</v>
      </c>
      <c r="U90" s="249"/>
      <c r="V90" s="249"/>
      <c r="W90" s="250">
        <f t="shared" si="50"/>
        <v>0</v>
      </c>
      <c r="X90" s="249"/>
      <c r="Y90" s="249"/>
      <c r="Z90" s="250">
        <f t="shared" si="51"/>
        <v>0</v>
      </c>
      <c r="AA90" s="249"/>
      <c r="AB90" s="249"/>
      <c r="AC90" s="250">
        <f t="shared" si="52"/>
        <v>0</v>
      </c>
      <c r="AD90" s="249"/>
      <c r="AE90" s="249"/>
      <c r="AF90" s="250">
        <f t="shared" si="53"/>
        <v>0</v>
      </c>
      <c r="AG90" s="249"/>
      <c r="AH90" s="249"/>
      <c r="AI90" s="250">
        <f t="shared" si="54"/>
        <v>0</v>
      </c>
      <c r="AJ90" s="249"/>
      <c r="AK90" s="249"/>
      <c r="AL90" s="250">
        <f t="shared" si="55"/>
        <v>0</v>
      </c>
      <c r="AM90" s="249"/>
      <c r="AN90" s="249"/>
      <c r="AO90" s="250">
        <f t="shared" si="56"/>
        <v>0</v>
      </c>
      <c r="AP90" s="249"/>
      <c r="AQ90" s="249"/>
      <c r="AR90" s="250">
        <f t="shared" si="57"/>
        <v>0</v>
      </c>
      <c r="AS90" s="249"/>
      <c r="AT90" s="249"/>
      <c r="AU90" s="250">
        <f t="shared" si="58"/>
        <v>0</v>
      </c>
      <c r="AV90" s="249"/>
      <c r="AW90" s="249"/>
      <c r="AX90" s="250">
        <f t="shared" si="59"/>
        <v>0</v>
      </c>
      <c r="AY90" s="249"/>
      <c r="AZ90" s="249"/>
      <c r="BA90" s="250">
        <f t="shared" si="60"/>
        <v>0</v>
      </c>
      <c r="BB90" s="249"/>
      <c r="BC90" s="249"/>
      <c r="BD90" s="250">
        <f t="shared" si="61"/>
        <v>0</v>
      </c>
    </row>
    <row r="91" spans="1:56">
      <c r="A91" s="251"/>
      <c r="B91" s="259" t="s">
        <v>387</v>
      </c>
      <c r="C91" s="249">
        <v>6099</v>
      </c>
      <c r="D91" s="249">
        <v>6415</v>
      </c>
      <c r="E91" s="508">
        <f t="shared" si="62"/>
        <v>5.1811772421708477</v>
      </c>
      <c r="F91" s="249">
        <v>13347</v>
      </c>
      <c r="G91" s="249">
        <v>13943</v>
      </c>
      <c r="H91" s="437">
        <f t="shared" si="63"/>
        <v>4.4654229414849773</v>
      </c>
      <c r="I91" s="249">
        <v>8484</v>
      </c>
      <c r="J91" s="249">
        <v>8820</v>
      </c>
      <c r="K91" s="437">
        <f t="shared" si="64"/>
        <v>3.9603960396039604</v>
      </c>
      <c r="L91" s="249">
        <v>18324</v>
      </c>
      <c r="M91" s="249">
        <v>18636</v>
      </c>
      <c r="N91" s="250">
        <f t="shared" si="65"/>
        <v>1.7026850032743943</v>
      </c>
      <c r="O91" s="249"/>
      <c r="P91" s="249"/>
      <c r="Q91" s="250">
        <f t="shared" si="48"/>
        <v>0</v>
      </c>
      <c r="R91" s="249"/>
      <c r="S91" s="249"/>
      <c r="T91" s="250">
        <f t="shared" si="49"/>
        <v>0</v>
      </c>
      <c r="U91" s="249"/>
      <c r="V91" s="249"/>
      <c r="W91" s="250">
        <f t="shared" si="50"/>
        <v>0</v>
      </c>
      <c r="X91" s="249"/>
      <c r="Y91" s="249"/>
      <c r="Z91" s="250">
        <f t="shared" si="51"/>
        <v>0</v>
      </c>
      <c r="AA91" s="249"/>
      <c r="AB91" s="249"/>
      <c r="AC91" s="250">
        <f t="shared" si="52"/>
        <v>0</v>
      </c>
      <c r="AD91" s="249"/>
      <c r="AE91" s="249"/>
      <c r="AF91" s="250">
        <f t="shared" si="53"/>
        <v>0</v>
      </c>
      <c r="AG91" s="249"/>
      <c r="AH91" s="249"/>
      <c r="AI91" s="250">
        <f t="shared" si="54"/>
        <v>0</v>
      </c>
      <c r="AJ91" s="249"/>
      <c r="AK91" s="249"/>
      <c r="AL91" s="250">
        <f t="shared" si="55"/>
        <v>0</v>
      </c>
      <c r="AM91" s="249"/>
      <c r="AN91" s="249"/>
      <c r="AO91" s="250">
        <f t="shared" si="56"/>
        <v>0</v>
      </c>
      <c r="AP91" s="249"/>
      <c r="AQ91" s="249"/>
      <c r="AR91" s="250">
        <f t="shared" si="57"/>
        <v>0</v>
      </c>
      <c r="AS91" s="249"/>
      <c r="AT91" s="249"/>
      <c r="AU91" s="250">
        <f t="shared" si="58"/>
        <v>0</v>
      </c>
      <c r="AV91" s="249"/>
      <c r="AW91" s="249"/>
      <c r="AX91" s="250">
        <f t="shared" si="59"/>
        <v>0</v>
      </c>
      <c r="AY91" s="249"/>
      <c r="AZ91" s="249"/>
      <c r="BA91" s="250">
        <f t="shared" si="60"/>
        <v>0</v>
      </c>
      <c r="BB91" s="249"/>
      <c r="BC91" s="249"/>
      <c r="BD91" s="250">
        <f t="shared" si="61"/>
        <v>0</v>
      </c>
    </row>
    <row r="92" spans="1:56">
      <c r="A92" s="251"/>
      <c r="B92" s="259" t="s">
        <v>388</v>
      </c>
      <c r="C92" s="249">
        <v>5692</v>
      </c>
      <c r="D92" s="249">
        <v>5920</v>
      </c>
      <c r="E92" s="508">
        <f t="shared" si="62"/>
        <v>4.0056219255094874</v>
      </c>
      <c r="F92" s="249">
        <v>13490</v>
      </c>
      <c r="G92" s="249">
        <v>14208</v>
      </c>
      <c r="H92" s="437">
        <f t="shared" si="63"/>
        <v>5.3224610822831728</v>
      </c>
      <c r="I92" s="249">
        <v>5850</v>
      </c>
      <c r="J92" s="249">
        <v>6084</v>
      </c>
      <c r="K92" s="437">
        <f t="shared" si="64"/>
        <v>4</v>
      </c>
      <c r="L92" s="249">
        <v>13680</v>
      </c>
      <c r="M92" s="249">
        <v>14598</v>
      </c>
      <c r="N92" s="250">
        <f t="shared" si="65"/>
        <v>6.7105263157894735</v>
      </c>
      <c r="O92" s="249"/>
      <c r="P92" s="249"/>
      <c r="Q92" s="250">
        <f t="shared" si="48"/>
        <v>0</v>
      </c>
      <c r="R92" s="249"/>
      <c r="S92" s="249"/>
      <c r="T92" s="250">
        <f t="shared" si="49"/>
        <v>0</v>
      </c>
      <c r="U92" s="249"/>
      <c r="V92" s="249"/>
      <c r="W92" s="250">
        <f t="shared" si="50"/>
        <v>0</v>
      </c>
      <c r="X92" s="249"/>
      <c r="Y92" s="249"/>
      <c r="Z92" s="250">
        <f t="shared" si="51"/>
        <v>0</v>
      </c>
      <c r="AA92" s="249"/>
      <c r="AB92" s="249"/>
      <c r="AC92" s="250">
        <f t="shared" si="52"/>
        <v>0</v>
      </c>
      <c r="AD92" s="249"/>
      <c r="AE92" s="249"/>
      <c r="AF92" s="250">
        <f t="shared" si="53"/>
        <v>0</v>
      </c>
      <c r="AG92" s="249"/>
      <c r="AH92" s="249"/>
      <c r="AI92" s="250">
        <f t="shared" si="54"/>
        <v>0</v>
      </c>
      <c r="AJ92" s="249"/>
      <c r="AK92" s="249"/>
      <c r="AL92" s="250">
        <f t="shared" si="55"/>
        <v>0</v>
      </c>
      <c r="AM92" s="249"/>
      <c r="AN92" s="249"/>
      <c r="AO92" s="250">
        <f t="shared" si="56"/>
        <v>0</v>
      </c>
      <c r="AP92" s="249"/>
      <c r="AQ92" s="249"/>
      <c r="AR92" s="250">
        <f t="shared" si="57"/>
        <v>0</v>
      </c>
      <c r="AS92" s="249"/>
      <c r="AT92" s="249"/>
      <c r="AU92" s="250">
        <f t="shared" si="58"/>
        <v>0</v>
      </c>
      <c r="AV92" s="249"/>
      <c r="AW92" s="249"/>
      <c r="AX92" s="250">
        <f t="shared" si="59"/>
        <v>0</v>
      </c>
      <c r="AY92" s="249"/>
      <c r="AZ92" s="249"/>
      <c r="BA92" s="250">
        <f t="shared" si="60"/>
        <v>0</v>
      </c>
      <c r="BB92" s="249"/>
      <c r="BC92" s="249"/>
      <c r="BD92" s="250">
        <f t="shared" si="61"/>
        <v>0</v>
      </c>
    </row>
    <row r="93" spans="1:56" s="82" customFormat="1">
      <c r="A93" s="83"/>
      <c r="B93" s="429" t="s">
        <v>389</v>
      </c>
      <c r="C93" s="249"/>
      <c r="D93" s="249"/>
      <c r="E93" s="508">
        <f t="shared" si="62"/>
        <v>0</v>
      </c>
      <c r="F93" s="249"/>
      <c r="G93" s="249"/>
      <c r="H93" s="437">
        <f t="shared" si="63"/>
        <v>0</v>
      </c>
      <c r="I93" s="249"/>
      <c r="J93" s="249"/>
      <c r="K93" s="437">
        <f t="shared" si="64"/>
        <v>0</v>
      </c>
      <c r="L93" s="249"/>
      <c r="M93" s="249"/>
      <c r="N93" s="250">
        <f t="shared" si="65"/>
        <v>0</v>
      </c>
      <c r="O93" s="249"/>
      <c r="P93" s="249"/>
      <c r="Q93" s="250">
        <f t="shared" si="48"/>
        <v>0</v>
      </c>
      <c r="R93" s="249"/>
      <c r="S93" s="249"/>
      <c r="T93" s="250">
        <f t="shared" si="49"/>
        <v>0</v>
      </c>
      <c r="U93" s="249"/>
      <c r="V93" s="249"/>
      <c r="W93" s="250">
        <f t="shared" si="50"/>
        <v>0</v>
      </c>
      <c r="X93" s="249"/>
      <c r="Y93" s="249"/>
      <c r="Z93" s="250">
        <f t="shared" si="51"/>
        <v>0</v>
      </c>
      <c r="AA93" s="249"/>
      <c r="AB93" s="249"/>
      <c r="AC93" s="250">
        <f t="shared" si="52"/>
        <v>0</v>
      </c>
      <c r="AD93" s="249"/>
      <c r="AE93" s="249"/>
      <c r="AF93" s="250">
        <f t="shared" si="53"/>
        <v>0</v>
      </c>
      <c r="AG93" s="249"/>
      <c r="AH93" s="249"/>
      <c r="AI93" s="250">
        <f t="shared" si="54"/>
        <v>0</v>
      </c>
      <c r="AJ93" s="249"/>
      <c r="AK93" s="249"/>
      <c r="AL93" s="250">
        <f t="shared" si="55"/>
        <v>0</v>
      </c>
      <c r="AM93" s="249"/>
      <c r="AN93" s="249"/>
      <c r="AO93" s="250">
        <f t="shared" si="56"/>
        <v>0</v>
      </c>
      <c r="AP93" s="249"/>
      <c r="AQ93" s="249"/>
      <c r="AR93" s="250">
        <f t="shared" si="57"/>
        <v>0</v>
      </c>
      <c r="AS93" s="249"/>
      <c r="AT93" s="249"/>
      <c r="AU93" s="250">
        <f t="shared" si="58"/>
        <v>0</v>
      </c>
      <c r="AV93" s="249"/>
      <c r="AW93" s="249"/>
      <c r="AX93" s="250">
        <f t="shared" si="59"/>
        <v>0</v>
      </c>
      <c r="AY93" s="249"/>
      <c r="AZ93" s="249"/>
      <c r="BA93" s="250">
        <f t="shared" si="60"/>
        <v>0</v>
      </c>
      <c r="BB93" s="249"/>
      <c r="BC93" s="249"/>
      <c r="BD93" s="250">
        <f t="shared" si="61"/>
        <v>0</v>
      </c>
    </row>
    <row r="94" spans="1:56" s="127" customFormat="1" ht="19.5" customHeight="1">
      <c r="A94" s="126"/>
      <c r="B94" s="432" t="s">
        <v>221</v>
      </c>
      <c r="C94" s="425">
        <v>6304</v>
      </c>
      <c r="D94" s="425">
        <v>6552</v>
      </c>
      <c r="E94" s="509">
        <f t="shared" si="62"/>
        <v>3.9340101522842641</v>
      </c>
      <c r="F94" s="425">
        <v>15801</v>
      </c>
      <c r="G94" s="425">
        <v>16513</v>
      </c>
      <c r="H94" s="438">
        <f t="shared" si="63"/>
        <v>4.5060439212708054</v>
      </c>
      <c r="I94" s="425">
        <v>7876</v>
      </c>
      <c r="J94" s="425">
        <v>8523</v>
      </c>
      <c r="K94" s="438">
        <f t="shared" si="64"/>
        <v>8.2148298628745557</v>
      </c>
      <c r="L94" s="425">
        <v>17659</v>
      </c>
      <c r="M94" s="425">
        <v>18236.5</v>
      </c>
      <c r="N94" s="421">
        <f t="shared" si="65"/>
        <v>3.2702871057251262</v>
      </c>
      <c r="O94" s="425"/>
      <c r="P94" s="425"/>
      <c r="Q94" s="421">
        <f t="shared" si="48"/>
        <v>0</v>
      </c>
      <c r="R94" s="425"/>
      <c r="S94" s="425"/>
      <c r="T94" s="421">
        <f t="shared" si="49"/>
        <v>0</v>
      </c>
      <c r="U94" s="425"/>
      <c r="V94" s="425"/>
      <c r="W94" s="421">
        <f t="shared" si="50"/>
        <v>0</v>
      </c>
      <c r="X94" s="425"/>
      <c r="Y94" s="425"/>
      <c r="Z94" s="421">
        <f t="shared" si="51"/>
        <v>0</v>
      </c>
      <c r="AA94" s="425"/>
      <c r="AB94" s="425"/>
      <c r="AC94" s="421">
        <f t="shared" si="52"/>
        <v>0</v>
      </c>
      <c r="AD94" s="425"/>
      <c r="AE94" s="425"/>
      <c r="AF94" s="421">
        <f t="shared" si="53"/>
        <v>0</v>
      </c>
      <c r="AG94" s="425"/>
      <c r="AH94" s="425"/>
      <c r="AI94" s="421">
        <f t="shared" si="54"/>
        <v>0</v>
      </c>
      <c r="AJ94" s="425"/>
      <c r="AK94" s="425"/>
      <c r="AL94" s="421">
        <f t="shared" si="55"/>
        <v>0</v>
      </c>
      <c r="AM94" s="425"/>
      <c r="AN94" s="425"/>
      <c r="AO94" s="421">
        <f t="shared" si="56"/>
        <v>0</v>
      </c>
      <c r="AP94" s="425"/>
      <c r="AQ94" s="425"/>
      <c r="AR94" s="421">
        <f t="shared" si="57"/>
        <v>0</v>
      </c>
      <c r="AS94" s="425"/>
      <c r="AT94" s="425"/>
      <c r="AU94" s="421">
        <f t="shared" si="58"/>
        <v>0</v>
      </c>
      <c r="AV94" s="425"/>
      <c r="AW94" s="425"/>
      <c r="AX94" s="421">
        <f t="shared" si="59"/>
        <v>0</v>
      </c>
      <c r="AY94" s="425"/>
      <c r="AZ94" s="425"/>
      <c r="BA94" s="421">
        <f t="shared" si="60"/>
        <v>0</v>
      </c>
      <c r="BB94" s="425"/>
      <c r="BC94" s="425"/>
      <c r="BD94" s="421">
        <f t="shared" si="61"/>
        <v>0</v>
      </c>
    </row>
    <row r="95" spans="1:56">
      <c r="A95" s="251"/>
      <c r="B95" s="259" t="s">
        <v>390</v>
      </c>
      <c r="C95" s="249"/>
      <c r="D95" s="249"/>
      <c r="E95" s="508">
        <f t="shared" si="62"/>
        <v>0</v>
      </c>
      <c r="F95" s="249"/>
      <c r="G95" s="249"/>
      <c r="H95" s="437">
        <f t="shared" si="63"/>
        <v>0</v>
      </c>
      <c r="I95" s="249"/>
      <c r="J95" s="249"/>
      <c r="K95" s="437">
        <f t="shared" si="64"/>
        <v>0</v>
      </c>
      <c r="L95" s="249"/>
      <c r="M95" s="249"/>
      <c r="N95" s="250">
        <f t="shared" si="65"/>
        <v>0</v>
      </c>
      <c r="O95" s="249"/>
      <c r="P95" s="249"/>
      <c r="Q95" s="250">
        <f t="shared" si="48"/>
        <v>0</v>
      </c>
      <c r="R95" s="249"/>
      <c r="S95" s="249"/>
      <c r="T95" s="250">
        <f t="shared" si="49"/>
        <v>0</v>
      </c>
      <c r="U95" s="249"/>
      <c r="V95" s="249"/>
      <c r="W95" s="250">
        <f t="shared" si="50"/>
        <v>0</v>
      </c>
      <c r="X95" s="249"/>
      <c r="Y95" s="249"/>
      <c r="Z95" s="250">
        <f t="shared" si="51"/>
        <v>0</v>
      </c>
      <c r="AA95" s="249"/>
      <c r="AB95" s="249"/>
      <c r="AC95" s="250">
        <f t="shared" si="52"/>
        <v>0</v>
      </c>
      <c r="AD95" s="249"/>
      <c r="AE95" s="249"/>
      <c r="AF95" s="250">
        <f t="shared" si="53"/>
        <v>0</v>
      </c>
      <c r="AG95" s="249"/>
      <c r="AH95" s="249"/>
      <c r="AI95" s="250">
        <f t="shared" si="54"/>
        <v>0</v>
      </c>
      <c r="AJ95" s="249"/>
      <c r="AK95" s="249"/>
      <c r="AL95" s="250">
        <f t="shared" si="55"/>
        <v>0</v>
      </c>
      <c r="AM95" s="249"/>
      <c r="AN95" s="249"/>
      <c r="AO95" s="250">
        <f t="shared" si="56"/>
        <v>0</v>
      </c>
      <c r="AP95" s="249"/>
      <c r="AQ95" s="249"/>
      <c r="AR95" s="250">
        <f t="shared" si="57"/>
        <v>0</v>
      </c>
      <c r="AS95" s="249"/>
      <c r="AT95" s="249"/>
      <c r="AU95" s="250">
        <f t="shared" si="58"/>
        <v>0</v>
      </c>
      <c r="AV95" s="249"/>
      <c r="AW95" s="249"/>
      <c r="AX95" s="250">
        <f t="shared" si="59"/>
        <v>0</v>
      </c>
      <c r="AY95" s="249"/>
      <c r="AZ95" s="249"/>
      <c r="BA95" s="250">
        <f t="shared" si="60"/>
        <v>0</v>
      </c>
      <c r="BB95" s="249"/>
      <c r="BC95" s="249"/>
      <c r="BD95" s="250">
        <f t="shared" si="61"/>
        <v>0</v>
      </c>
    </row>
    <row r="96" spans="1:56">
      <c r="A96" s="251"/>
      <c r="B96" s="259" t="s">
        <v>391</v>
      </c>
      <c r="C96" s="249">
        <v>3630</v>
      </c>
      <c r="D96" s="249">
        <v>3750</v>
      </c>
      <c r="E96" s="508">
        <f t="shared" si="62"/>
        <v>3.3057851239669422</v>
      </c>
      <c r="F96" s="249">
        <v>11700</v>
      </c>
      <c r="G96" s="249">
        <v>12750</v>
      </c>
      <c r="H96" s="437">
        <f t="shared" si="63"/>
        <v>8.9743589743589745</v>
      </c>
      <c r="I96" s="249"/>
      <c r="J96" s="249"/>
      <c r="K96" s="437">
        <f t="shared" si="64"/>
        <v>0</v>
      </c>
      <c r="L96" s="249"/>
      <c r="M96" s="249"/>
      <c r="N96" s="250">
        <f t="shared" si="65"/>
        <v>0</v>
      </c>
      <c r="O96" s="249"/>
      <c r="P96" s="249"/>
      <c r="Q96" s="250">
        <f t="shared" si="48"/>
        <v>0</v>
      </c>
      <c r="R96" s="249"/>
      <c r="S96" s="249"/>
      <c r="T96" s="250">
        <f t="shared" si="49"/>
        <v>0</v>
      </c>
      <c r="U96" s="249"/>
      <c r="V96" s="249"/>
      <c r="W96" s="250">
        <f t="shared" si="50"/>
        <v>0</v>
      </c>
      <c r="X96" s="249"/>
      <c r="Y96" s="249"/>
      <c r="Z96" s="250">
        <f t="shared" si="51"/>
        <v>0</v>
      </c>
      <c r="AA96" s="249"/>
      <c r="AB96" s="249"/>
      <c r="AC96" s="250">
        <f t="shared" si="52"/>
        <v>0</v>
      </c>
      <c r="AD96" s="249"/>
      <c r="AE96" s="249"/>
      <c r="AF96" s="250">
        <f t="shared" si="53"/>
        <v>0</v>
      </c>
      <c r="AG96" s="249"/>
      <c r="AH96" s="249"/>
      <c r="AI96" s="250">
        <f t="shared" si="54"/>
        <v>0</v>
      </c>
      <c r="AJ96" s="249"/>
      <c r="AK96" s="249"/>
      <c r="AL96" s="250">
        <f t="shared" si="55"/>
        <v>0</v>
      </c>
      <c r="AM96" s="249"/>
      <c r="AN96" s="249"/>
      <c r="AO96" s="250">
        <f t="shared" si="56"/>
        <v>0</v>
      </c>
      <c r="AP96" s="249"/>
      <c r="AQ96" s="249"/>
      <c r="AR96" s="250">
        <f t="shared" si="57"/>
        <v>0</v>
      </c>
      <c r="AS96" s="249"/>
      <c r="AT96" s="249"/>
      <c r="AU96" s="250">
        <f t="shared" si="58"/>
        <v>0</v>
      </c>
      <c r="AV96" s="249"/>
      <c r="AW96" s="249"/>
      <c r="AX96" s="250">
        <f t="shared" si="59"/>
        <v>0</v>
      </c>
      <c r="AY96" s="249"/>
      <c r="AZ96" s="249"/>
      <c r="BA96" s="250">
        <f t="shared" si="60"/>
        <v>0</v>
      </c>
      <c r="BB96" s="249"/>
      <c r="BC96" s="249"/>
      <c r="BD96" s="250">
        <f t="shared" si="61"/>
        <v>0</v>
      </c>
    </row>
    <row r="97" spans="1:56">
      <c r="A97" s="251"/>
      <c r="B97" s="259" t="s">
        <v>392</v>
      </c>
      <c r="C97" s="249">
        <v>3630</v>
      </c>
      <c r="D97" s="249">
        <v>3750</v>
      </c>
      <c r="E97" s="508">
        <f t="shared" si="62"/>
        <v>3.3057851239669422</v>
      </c>
      <c r="F97" s="249">
        <v>11700</v>
      </c>
      <c r="G97" s="249">
        <v>12750</v>
      </c>
      <c r="H97" s="437">
        <f t="shared" si="63"/>
        <v>8.9743589743589745</v>
      </c>
      <c r="I97" s="249"/>
      <c r="J97" s="249"/>
      <c r="K97" s="437">
        <f t="shared" si="64"/>
        <v>0</v>
      </c>
      <c r="L97" s="249"/>
      <c r="M97" s="249"/>
      <c r="N97" s="250">
        <f t="shared" si="65"/>
        <v>0</v>
      </c>
      <c r="O97" s="249"/>
      <c r="P97" s="249"/>
      <c r="Q97" s="250">
        <f t="shared" si="48"/>
        <v>0</v>
      </c>
      <c r="R97" s="249"/>
      <c r="S97" s="249"/>
      <c r="T97" s="250">
        <f t="shared" si="49"/>
        <v>0</v>
      </c>
      <c r="U97" s="249"/>
      <c r="V97" s="249"/>
      <c r="W97" s="250">
        <f t="shared" si="50"/>
        <v>0</v>
      </c>
      <c r="X97" s="249"/>
      <c r="Y97" s="249"/>
      <c r="Z97" s="250">
        <f t="shared" si="51"/>
        <v>0</v>
      </c>
      <c r="AA97" s="249"/>
      <c r="AB97" s="249"/>
      <c r="AC97" s="250">
        <f t="shared" si="52"/>
        <v>0</v>
      </c>
      <c r="AD97" s="249"/>
      <c r="AE97" s="249"/>
      <c r="AF97" s="250">
        <f t="shared" si="53"/>
        <v>0</v>
      </c>
      <c r="AG97" s="249"/>
      <c r="AH97" s="249"/>
      <c r="AI97" s="250">
        <f t="shared" si="54"/>
        <v>0</v>
      </c>
      <c r="AJ97" s="249"/>
      <c r="AK97" s="249"/>
      <c r="AL97" s="250">
        <f t="shared" si="55"/>
        <v>0</v>
      </c>
      <c r="AM97" s="249"/>
      <c r="AN97" s="249"/>
      <c r="AO97" s="250">
        <f t="shared" si="56"/>
        <v>0</v>
      </c>
      <c r="AP97" s="249"/>
      <c r="AQ97" s="249"/>
      <c r="AR97" s="250">
        <f t="shared" si="57"/>
        <v>0</v>
      </c>
      <c r="AS97" s="249"/>
      <c r="AT97" s="249"/>
      <c r="AU97" s="250">
        <f t="shared" si="58"/>
        <v>0</v>
      </c>
      <c r="AV97" s="249"/>
      <c r="AW97" s="249"/>
      <c r="AX97" s="250">
        <f t="shared" si="59"/>
        <v>0</v>
      </c>
      <c r="AY97" s="249"/>
      <c r="AZ97" s="249"/>
      <c r="BA97" s="250">
        <f t="shared" si="60"/>
        <v>0</v>
      </c>
      <c r="BB97" s="249"/>
      <c r="BC97" s="249"/>
      <c r="BD97" s="250">
        <f t="shared" si="61"/>
        <v>0</v>
      </c>
    </row>
    <row r="98" spans="1:56">
      <c r="A98" s="251"/>
      <c r="B98" s="259" t="s">
        <v>196</v>
      </c>
      <c r="C98" s="249">
        <v>3630</v>
      </c>
      <c r="D98" s="249">
        <v>3750</v>
      </c>
      <c r="E98" s="508">
        <f t="shared" si="62"/>
        <v>3.3057851239669422</v>
      </c>
      <c r="F98" s="249">
        <v>11700</v>
      </c>
      <c r="G98" s="249">
        <v>12750</v>
      </c>
      <c r="H98" s="437">
        <f t="shared" si="63"/>
        <v>8.9743589743589745</v>
      </c>
      <c r="I98" s="249"/>
      <c r="J98" s="249"/>
      <c r="K98" s="437">
        <f t="shared" si="64"/>
        <v>0</v>
      </c>
      <c r="L98" s="249"/>
      <c r="M98" s="249"/>
      <c r="N98" s="250">
        <f t="shared" si="65"/>
        <v>0</v>
      </c>
      <c r="O98" s="249"/>
      <c r="P98" s="249"/>
      <c r="Q98" s="250">
        <f t="shared" si="48"/>
        <v>0</v>
      </c>
      <c r="R98" s="249"/>
      <c r="S98" s="249"/>
      <c r="T98" s="250">
        <f t="shared" si="49"/>
        <v>0</v>
      </c>
      <c r="U98" s="249"/>
      <c r="V98" s="249"/>
      <c r="W98" s="250">
        <f t="shared" si="50"/>
        <v>0</v>
      </c>
      <c r="X98" s="249"/>
      <c r="Y98" s="249"/>
      <c r="Z98" s="250">
        <f t="shared" si="51"/>
        <v>0</v>
      </c>
      <c r="AA98" s="249"/>
      <c r="AB98" s="249"/>
      <c r="AC98" s="250">
        <f t="shared" si="52"/>
        <v>0</v>
      </c>
      <c r="AD98" s="249"/>
      <c r="AE98" s="249"/>
      <c r="AF98" s="250">
        <f t="shared" si="53"/>
        <v>0</v>
      </c>
      <c r="AG98" s="249"/>
      <c r="AH98" s="249"/>
      <c r="AI98" s="250">
        <f t="shared" si="54"/>
        <v>0</v>
      </c>
      <c r="AJ98" s="249"/>
      <c r="AK98" s="249"/>
      <c r="AL98" s="250">
        <f t="shared" si="55"/>
        <v>0</v>
      </c>
      <c r="AM98" s="249"/>
      <c r="AN98" s="249"/>
      <c r="AO98" s="250">
        <f t="shared" si="56"/>
        <v>0</v>
      </c>
      <c r="AP98" s="249"/>
      <c r="AQ98" s="249"/>
      <c r="AR98" s="250">
        <f t="shared" si="57"/>
        <v>0</v>
      </c>
      <c r="AS98" s="249"/>
      <c r="AT98" s="249"/>
      <c r="AU98" s="250">
        <f t="shared" si="58"/>
        <v>0</v>
      </c>
      <c r="AV98" s="249"/>
      <c r="AW98" s="249"/>
      <c r="AX98" s="250">
        <f t="shared" si="59"/>
        <v>0</v>
      </c>
      <c r="AY98" s="249"/>
      <c r="AZ98" s="249"/>
      <c r="BA98" s="250">
        <f t="shared" si="60"/>
        <v>0</v>
      </c>
      <c r="BB98" s="249"/>
      <c r="BC98" s="249"/>
      <c r="BD98" s="250">
        <f t="shared" si="61"/>
        <v>0</v>
      </c>
    </row>
    <row r="99" spans="1:56" s="255" customFormat="1" ht="20.25" customHeight="1">
      <c r="A99" s="252"/>
      <c r="B99" s="431" t="s">
        <v>550</v>
      </c>
      <c r="C99" s="425">
        <v>3630</v>
      </c>
      <c r="D99" s="425">
        <v>3750</v>
      </c>
      <c r="E99" s="509">
        <f t="shared" si="62"/>
        <v>3.3057851239669422</v>
      </c>
      <c r="F99" s="249">
        <v>11700</v>
      </c>
      <c r="G99" s="249">
        <v>12750</v>
      </c>
      <c r="H99" s="438">
        <f t="shared" si="63"/>
        <v>8.9743589743589745</v>
      </c>
      <c r="I99" s="425"/>
      <c r="J99" s="425"/>
      <c r="K99" s="438">
        <f t="shared" si="64"/>
        <v>0</v>
      </c>
      <c r="L99" s="425"/>
      <c r="M99" s="425"/>
      <c r="N99" s="421">
        <f t="shared" si="65"/>
        <v>0</v>
      </c>
      <c r="O99" s="425"/>
      <c r="P99" s="425"/>
      <c r="Q99" s="421">
        <f t="shared" si="48"/>
        <v>0</v>
      </c>
      <c r="R99" s="425"/>
      <c r="S99" s="425"/>
      <c r="T99" s="421">
        <f t="shared" si="49"/>
        <v>0</v>
      </c>
      <c r="U99" s="425"/>
      <c r="V99" s="425"/>
      <c r="W99" s="421">
        <f t="shared" si="50"/>
        <v>0</v>
      </c>
      <c r="X99" s="425"/>
      <c r="Y99" s="425"/>
      <c r="Z99" s="421">
        <f t="shared" si="51"/>
        <v>0</v>
      </c>
      <c r="AA99" s="425"/>
      <c r="AB99" s="425"/>
      <c r="AC99" s="421">
        <f t="shared" si="52"/>
        <v>0</v>
      </c>
      <c r="AD99" s="425"/>
      <c r="AE99" s="425"/>
      <c r="AF99" s="421">
        <f t="shared" si="53"/>
        <v>0</v>
      </c>
      <c r="AG99" s="425"/>
      <c r="AH99" s="425"/>
      <c r="AI99" s="421">
        <f t="shared" si="54"/>
        <v>0</v>
      </c>
      <c r="AJ99" s="425"/>
      <c r="AK99" s="425"/>
      <c r="AL99" s="421">
        <f t="shared" si="55"/>
        <v>0</v>
      </c>
      <c r="AM99" s="425"/>
      <c r="AN99" s="425"/>
      <c r="AO99" s="421">
        <f t="shared" si="56"/>
        <v>0</v>
      </c>
      <c r="AP99" s="425"/>
      <c r="AQ99" s="425"/>
      <c r="AR99" s="421">
        <f t="shared" si="57"/>
        <v>0</v>
      </c>
      <c r="AS99" s="425"/>
      <c r="AT99" s="425"/>
      <c r="AU99" s="421">
        <f t="shared" si="58"/>
        <v>0</v>
      </c>
      <c r="AV99" s="425"/>
      <c r="AW99" s="425"/>
      <c r="AX99" s="421">
        <f t="shared" si="59"/>
        <v>0</v>
      </c>
      <c r="AY99" s="425"/>
      <c r="AZ99" s="425"/>
      <c r="BA99" s="421">
        <f t="shared" si="60"/>
        <v>0</v>
      </c>
      <c r="BB99" s="425"/>
      <c r="BC99" s="425"/>
      <c r="BD99" s="421">
        <f t="shared" si="61"/>
        <v>0</v>
      </c>
    </row>
    <row r="100" spans="1:56">
      <c r="A100" s="251"/>
      <c r="B100" s="259" t="s">
        <v>197</v>
      </c>
      <c r="C100" s="249">
        <v>3630</v>
      </c>
      <c r="D100" s="249">
        <v>3750</v>
      </c>
      <c r="E100" s="508">
        <f t="shared" si="62"/>
        <v>3.3057851239669422</v>
      </c>
      <c r="F100" s="249">
        <v>11700</v>
      </c>
      <c r="G100" s="249">
        <v>12750</v>
      </c>
      <c r="H100" s="437">
        <f t="shared" si="63"/>
        <v>8.9743589743589745</v>
      </c>
      <c r="I100" s="249"/>
      <c r="J100" s="249"/>
      <c r="K100" s="437">
        <f t="shared" si="64"/>
        <v>0</v>
      </c>
      <c r="L100" s="249"/>
      <c r="M100" s="249"/>
      <c r="N100" s="250">
        <f t="shared" si="65"/>
        <v>0</v>
      </c>
      <c r="O100" s="249"/>
      <c r="P100" s="249"/>
      <c r="Q100" s="250">
        <f t="shared" si="48"/>
        <v>0</v>
      </c>
      <c r="R100" s="249"/>
      <c r="S100" s="249"/>
      <c r="T100" s="250">
        <f t="shared" si="49"/>
        <v>0</v>
      </c>
      <c r="U100" s="249"/>
      <c r="V100" s="249"/>
      <c r="W100" s="250">
        <f t="shared" si="50"/>
        <v>0</v>
      </c>
      <c r="X100" s="249"/>
      <c r="Y100" s="249"/>
      <c r="Z100" s="250">
        <f t="shared" si="51"/>
        <v>0</v>
      </c>
      <c r="AA100" s="249"/>
      <c r="AB100" s="249"/>
      <c r="AC100" s="250">
        <f t="shared" si="52"/>
        <v>0</v>
      </c>
      <c r="AD100" s="249"/>
      <c r="AE100" s="249"/>
      <c r="AF100" s="250">
        <f t="shared" si="53"/>
        <v>0</v>
      </c>
      <c r="AG100" s="249"/>
      <c r="AH100" s="249"/>
      <c r="AI100" s="250">
        <f t="shared" si="54"/>
        <v>0</v>
      </c>
      <c r="AJ100" s="249"/>
      <c r="AK100" s="249"/>
      <c r="AL100" s="250">
        <f t="shared" si="55"/>
        <v>0</v>
      </c>
      <c r="AM100" s="249"/>
      <c r="AN100" s="249"/>
      <c r="AO100" s="250">
        <f t="shared" si="56"/>
        <v>0</v>
      </c>
      <c r="AP100" s="249"/>
      <c r="AQ100" s="249"/>
      <c r="AR100" s="250">
        <f t="shared" si="57"/>
        <v>0</v>
      </c>
      <c r="AS100" s="249"/>
      <c r="AT100" s="249"/>
      <c r="AU100" s="250">
        <f t="shared" si="58"/>
        <v>0</v>
      </c>
      <c r="AV100" s="249"/>
      <c r="AW100" s="249"/>
      <c r="AX100" s="250">
        <f t="shared" si="59"/>
        <v>0</v>
      </c>
      <c r="AY100" s="249"/>
      <c r="AZ100" s="249"/>
      <c r="BA100" s="250">
        <f t="shared" si="60"/>
        <v>0</v>
      </c>
      <c r="BB100" s="249"/>
      <c r="BC100" s="249"/>
      <c r="BD100" s="250">
        <f t="shared" si="61"/>
        <v>0</v>
      </c>
    </row>
    <row r="101" spans="1:56">
      <c r="A101" s="251"/>
      <c r="B101" s="259" t="s">
        <v>326</v>
      </c>
      <c r="C101" s="249"/>
      <c r="D101" s="249"/>
      <c r="E101" s="508">
        <f t="shared" si="62"/>
        <v>0</v>
      </c>
      <c r="F101" s="249"/>
      <c r="G101" s="249"/>
      <c r="H101" s="437">
        <f t="shared" si="63"/>
        <v>0</v>
      </c>
      <c r="I101" s="249"/>
      <c r="J101" s="249"/>
      <c r="K101" s="437">
        <f t="shared" si="64"/>
        <v>0</v>
      </c>
      <c r="L101" s="249"/>
      <c r="M101" s="249"/>
      <c r="N101" s="250">
        <f t="shared" si="65"/>
        <v>0</v>
      </c>
      <c r="O101" s="249"/>
      <c r="P101" s="249"/>
      <c r="Q101" s="250">
        <f t="shared" si="48"/>
        <v>0</v>
      </c>
      <c r="R101" s="249"/>
      <c r="S101" s="249"/>
      <c r="T101" s="250">
        <f t="shared" si="49"/>
        <v>0</v>
      </c>
      <c r="U101" s="249"/>
      <c r="V101" s="249"/>
      <c r="W101" s="250">
        <f t="shared" si="50"/>
        <v>0</v>
      </c>
      <c r="X101" s="249"/>
      <c r="Y101" s="249"/>
      <c r="Z101" s="250">
        <f t="shared" si="51"/>
        <v>0</v>
      </c>
      <c r="AA101" s="249"/>
      <c r="AB101" s="249"/>
      <c r="AC101" s="250">
        <f t="shared" si="52"/>
        <v>0</v>
      </c>
      <c r="AD101" s="249"/>
      <c r="AE101" s="249"/>
      <c r="AF101" s="250">
        <f t="shared" si="53"/>
        <v>0</v>
      </c>
      <c r="AG101" s="249"/>
      <c r="AH101" s="249"/>
      <c r="AI101" s="250">
        <f t="shared" si="54"/>
        <v>0</v>
      </c>
      <c r="AJ101" s="249"/>
      <c r="AK101" s="249"/>
      <c r="AL101" s="250">
        <f t="shared" si="55"/>
        <v>0</v>
      </c>
      <c r="AM101" s="249"/>
      <c r="AN101" s="249"/>
      <c r="AO101" s="250">
        <f t="shared" si="56"/>
        <v>0</v>
      </c>
      <c r="AP101" s="249"/>
      <c r="AQ101" s="249"/>
      <c r="AR101" s="250">
        <f t="shared" si="57"/>
        <v>0</v>
      </c>
      <c r="AS101" s="249"/>
      <c r="AT101" s="249"/>
      <c r="AU101" s="250">
        <f t="shared" si="58"/>
        <v>0</v>
      </c>
      <c r="AV101" s="249"/>
      <c r="AW101" s="249"/>
      <c r="AX101" s="250">
        <f t="shared" si="59"/>
        <v>0</v>
      </c>
      <c r="AY101" s="249"/>
      <c r="AZ101" s="249"/>
      <c r="BA101" s="250">
        <f t="shared" si="60"/>
        <v>0</v>
      </c>
      <c r="BB101" s="249"/>
      <c r="BC101" s="249"/>
      <c r="BD101" s="250">
        <f t="shared" si="61"/>
        <v>0</v>
      </c>
    </row>
    <row r="102" spans="1:56">
      <c r="A102" s="251"/>
      <c r="B102" s="259" t="s">
        <v>327</v>
      </c>
      <c r="C102" s="249"/>
      <c r="D102" s="249"/>
      <c r="E102" s="508"/>
      <c r="F102" s="249"/>
      <c r="G102" s="249"/>
      <c r="H102" s="437">
        <f t="shared" si="63"/>
        <v>0</v>
      </c>
      <c r="I102" s="249"/>
      <c r="J102" s="249"/>
      <c r="K102" s="437">
        <f t="shared" si="64"/>
        <v>0</v>
      </c>
      <c r="L102" s="249"/>
      <c r="M102" s="249"/>
      <c r="N102" s="250">
        <f t="shared" si="65"/>
        <v>0</v>
      </c>
      <c r="O102" s="249"/>
      <c r="P102" s="249"/>
      <c r="Q102" s="250">
        <f t="shared" si="48"/>
        <v>0</v>
      </c>
      <c r="R102" s="249"/>
      <c r="S102" s="249"/>
      <c r="T102" s="250">
        <f t="shared" si="49"/>
        <v>0</v>
      </c>
      <c r="U102" s="249"/>
      <c r="V102" s="249"/>
      <c r="W102" s="250">
        <f t="shared" si="50"/>
        <v>0</v>
      </c>
      <c r="X102" s="249"/>
      <c r="Y102" s="249"/>
      <c r="Z102" s="250">
        <f t="shared" si="51"/>
        <v>0</v>
      </c>
      <c r="AA102" s="249"/>
      <c r="AB102" s="249"/>
      <c r="AC102" s="250">
        <f t="shared" si="52"/>
        <v>0</v>
      </c>
      <c r="AD102" s="249"/>
      <c r="AE102" s="249"/>
      <c r="AF102" s="250">
        <f t="shared" si="53"/>
        <v>0</v>
      </c>
      <c r="AG102" s="249"/>
      <c r="AH102" s="249"/>
      <c r="AI102" s="250">
        <f t="shared" si="54"/>
        <v>0</v>
      </c>
      <c r="AJ102" s="249"/>
      <c r="AK102" s="249"/>
      <c r="AL102" s="250">
        <f t="shared" si="55"/>
        <v>0</v>
      </c>
      <c r="AM102" s="249"/>
      <c r="AN102" s="249"/>
      <c r="AO102" s="250">
        <f t="shared" si="56"/>
        <v>0</v>
      </c>
      <c r="AP102" s="249"/>
      <c r="AQ102" s="249"/>
      <c r="AR102" s="250">
        <f t="shared" si="57"/>
        <v>0</v>
      </c>
      <c r="AS102" s="249"/>
      <c r="AT102" s="249"/>
      <c r="AU102" s="250">
        <f t="shared" si="58"/>
        <v>0</v>
      </c>
      <c r="AV102" s="249"/>
      <c r="AW102" s="249"/>
      <c r="AX102" s="250">
        <f t="shared" si="59"/>
        <v>0</v>
      </c>
      <c r="AY102" s="249"/>
      <c r="AZ102" s="249"/>
      <c r="BA102" s="250">
        <f t="shared" si="60"/>
        <v>0</v>
      </c>
      <c r="BB102" s="249"/>
      <c r="BC102" s="249"/>
      <c r="BD102" s="250">
        <f t="shared" si="61"/>
        <v>0</v>
      </c>
    </row>
    <row r="103" spans="1:56" s="255" customFormat="1" ht="20.25" customHeight="1">
      <c r="A103" s="252"/>
      <c r="B103" s="431" t="s">
        <v>315</v>
      </c>
      <c r="C103" s="425">
        <v>3630</v>
      </c>
      <c r="D103" s="425">
        <v>3750</v>
      </c>
      <c r="E103" s="509">
        <f>IF(C103&gt;0,(((D103-C103)/C103)*100),0)</f>
        <v>3.3057851239669422</v>
      </c>
      <c r="F103" s="249">
        <v>11700</v>
      </c>
      <c r="G103" s="249">
        <v>12750</v>
      </c>
      <c r="H103" s="438">
        <f t="shared" si="63"/>
        <v>8.9743589743589745</v>
      </c>
      <c r="I103" s="425"/>
      <c r="J103" s="425"/>
      <c r="K103" s="438">
        <f t="shared" si="64"/>
        <v>0</v>
      </c>
      <c r="L103" s="425"/>
      <c r="M103" s="425"/>
      <c r="N103" s="421">
        <f t="shared" si="65"/>
        <v>0</v>
      </c>
      <c r="O103" s="425"/>
      <c r="P103" s="425"/>
      <c r="Q103" s="421">
        <f t="shared" si="48"/>
        <v>0</v>
      </c>
      <c r="R103" s="425"/>
      <c r="S103" s="425"/>
      <c r="T103" s="421">
        <f t="shared" si="49"/>
        <v>0</v>
      </c>
      <c r="U103" s="425"/>
      <c r="V103" s="425"/>
      <c r="W103" s="421">
        <f t="shared" si="50"/>
        <v>0</v>
      </c>
      <c r="X103" s="425"/>
      <c r="Y103" s="425"/>
      <c r="Z103" s="421">
        <f t="shared" si="51"/>
        <v>0</v>
      </c>
      <c r="AA103" s="425"/>
      <c r="AB103" s="425"/>
      <c r="AC103" s="421">
        <f t="shared" si="52"/>
        <v>0</v>
      </c>
      <c r="AD103" s="425"/>
      <c r="AE103" s="425"/>
      <c r="AF103" s="421">
        <f t="shared" si="53"/>
        <v>0</v>
      </c>
      <c r="AG103" s="425"/>
      <c r="AH103" s="425"/>
      <c r="AI103" s="421">
        <f t="shared" si="54"/>
        <v>0</v>
      </c>
      <c r="AJ103" s="425"/>
      <c r="AK103" s="425"/>
      <c r="AL103" s="421">
        <f t="shared" si="55"/>
        <v>0</v>
      </c>
      <c r="AM103" s="425"/>
      <c r="AN103" s="425"/>
      <c r="AO103" s="421">
        <f t="shared" si="56"/>
        <v>0</v>
      </c>
      <c r="AP103" s="425"/>
      <c r="AQ103" s="425"/>
      <c r="AR103" s="421">
        <f t="shared" si="57"/>
        <v>0</v>
      </c>
      <c r="AS103" s="425"/>
      <c r="AT103" s="425"/>
      <c r="AU103" s="421">
        <f t="shared" si="58"/>
        <v>0</v>
      </c>
      <c r="AV103" s="425"/>
      <c r="AW103" s="425"/>
      <c r="AX103" s="421">
        <f t="shared" si="59"/>
        <v>0</v>
      </c>
      <c r="AY103" s="425"/>
      <c r="AZ103" s="425"/>
      <c r="BA103" s="421">
        <f t="shared" si="60"/>
        <v>0</v>
      </c>
      <c r="BB103" s="425"/>
      <c r="BC103" s="425"/>
      <c r="BD103" s="421">
        <f t="shared" si="61"/>
        <v>0</v>
      </c>
    </row>
    <row r="104" spans="1:56">
      <c r="A104" s="256"/>
      <c r="B104" s="428" t="s">
        <v>198</v>
      </c>
      <c r="C104" s="257"/>
      <c r="D104" s="257"/>
      <c r="E104" s="510"/>
      <c r="F104" s="257"/>
      <c r="G104" s="257"/>
      <c r="H104" s="439"/>
      <c r="I104" s="257"/>
      <c r="J104" s="257"/>
      <c r="K104" s="439"/>
      <c r="L104" s="257"/>
      <c r="M104" s="257"/>
      <c r="N104" s="258"/>
      <c r="O104" s="257">
        <v>13744</v>
      </c>
      <c r="P104" s="257">
        <v>14440</v>
      </c>
      <c r="Q104" s="258">
        <f t="shared" si="48"/>
        <v>5.064027939464494</v>
      </c>
      <c r="R104" s="257">
        <v>28292</v>
      </c>
      <c r="S104" s="257">
        <v>28980</v>
      </c>
      <c r="T104" s="258">
        <f t="shared" si="49"/>
        <v>2.4317828361374239</v>
      </c>
      <c r="U104" s="257">
        <v>25421</v>
      </c>
      <c r="V104" s="257">
        <v>27478.5</v>
      </c>
      <c r="W104" s="258">
        <f t="shared" si="50"/>
        <v>8.0937020573541556</v>
      </c>
      <c r="X104" s="257">
        <v>46020</v>
      </c>
      <c r="Y104" s="257">
        <v>48229.5</v>
      </c>
      <c r="Z104" s="258">
        <f t="shared" si="51"/>
        <v>4.8011734028683177</v>
      </c>
      <c r="AA104" s="257">
        <v>21664</v>
      </c>
      <c r="AB104" s="257">
        <v>22743</v>
      </c>
      <c r="AC104" s="258">
        <f t="shared" si="52"/>
        <v>4.9806129985228953</v>
      </c>
      <c r="AD104" s="257">
        <v>47273</v>
      </c>
      <c r="AE104" s="257">
        <v>48944.5</v>
      </c>
      <c r="AF104" s="258">
        <f t="shared" si="53"/>
        <v>3.5358449855096987</v>
      </c>
      <c r="AG104" s="257">
        <v>19376</v>
      </c>
      <c r="AH104" s="257">
        <v>20345</v>
      </c>
      <c r="AI104" s="258">
        <f t="shared" si="54"/>
        <v>5.0010322047894302</v>
      </c>
      <c r="AJ104" s="257">
        <v>35270</v>
      </c>
      <c r="AK104" s="257">
        <v>37034</v>
      </c>
      <c r="AL104" s="258">
        <f t="shared" si="55"/>
        <v>5.0014176353841791</v>
      </c>
      <c r="AM104" s="257"/>
      <c r="AN104" s="257"/>
      <c r="AO104" s="258">
        <f t="shared" si="56"/>
        <v>0</v>
      </c>
      <c r="AP104" s="257"/>
      <c r="AQ104" s="257"/>
      <c r="AR104" s="258">
        <f t="shared" si="57"/>
        <v>0</v>
      </c>
      <c r="AS104" s="257"/>
      <c r="AT104" s="257"/>
      <c r="AU104" s="258">
        <f t="shared" si="58"/>
        <v>0</v>
      </c>
      <c r="AV104" s="257"/>
      <c r="AW104" s="257"/>
      <c r="AX104" s="258">
        <f t="shared" si="59"/>
        <v>0</v>
      </c>
      <c r="AY104" s="257"/>
      <c r="AZ104" s="257"/>
      <c r="BA104" s="258">
        <f t="shared" si="60"/>
        <v>0</v>
      </c>
      <c r="BB104" s="257"/>
      <c r="BC104" s="257"/>
      <c r="BD104" s="258">
        <f t="shared" si="61"/>
        <v>0</v>
      </c>
    </row>
    <row r="105" spans="1:56">
      <c r="A105" s="247" t="s">
        <v>212</v>
      </c>
      <c r="B105" s="259" t="s">
        <v>384</v>
      </c>
      <c r="C105" s="249">
        <v>5086.3999999999996</v>
      </c>
      <c r="D105" s="249">
        <v>5233.3999999999996</v>
      </c>
      <c r="E105" s="508">
        <f t="shared" ref="E105:E119" si="66">IF(C105&gt;0,(((D105-C105)/C105)*100),0)</f>
        <v>2.8900597672223971</v>
      </c>
      <c r="F105" s="249">
        <v>13800.4</v>
      </c>
      <c r="G105" s="249">
        <v>14383.4</v>
      </c>
      <c r="H105" s="437">
        <f t="shared" ref="H105:H120" si="67">IF(F105&gt;0,(((G105-F105)/F105)*100),0)</f>
        <v>4.2245152314425667</v>
      </c>
      <c r="I105" s="249">
        <v>5013.8</v>
      </c>
      <c r="J105" s="249">
        <v>5932.4</v>
      </c>
      <c r="K105" s="437">
        <f t="shared" ref="K105:K120" si="68">IF(I105&gt;0,(((J105-I105)/I105)*100),0)</f>
        <v>18.32143284534683</v>
      </c>
      <c r="L105" s="249">
        <v>13727.8</v>
      </c>
      <c r="M105" s="249">
        <v>15082.4</v>
      </c>
      <c r="N105" s="250">
        <f t="shared" ref="N105:N120" si="69">IF(L105&gt;0,(((M105-L105)/L105)*100),0)</f>
        <v>9.8675680006993147</v>
      </c>
      <c r="O105" s="249"/>
      <c r="P105" s="249"/>
      <c r="Q105" s="250">
        <f t="shared" si="48"/>
        <v>0</v>
      </c>
      <c r="R105" s="249"/>
      <c r="S105" s="249"/>
      <c r="T105" s="250">
        <f t="shared" si="49"/>
        <v>0</v>
      </c>
      <c r="U105" s="249"/>
      <c r="V105" s="249"/>
      <c r="W105" s="250">
        <f t="shared" si="50"/>
        <v>0</v>
      </c>
      <c r="X105" s="249"/>
      <c r="Y105" s="249"/>
      <c r="Z105" s="250">
        <f t="shared" si="51"/>
        <v>0</v>
      </c>
      <c r="AA105" s="249"/>
      <c r="AB105" s="249"/>
      <c r="AC105" s="250">
        <f t="shared" si="52"/>
        <v>0</v>
      </c>
      <c r="AD105" s="249"/>
      <c r="AE105" s="249"/>
      <c r="AF105" s="250">
        <f t="shared" si="53"/>
        <v>0</v>
      </c>
      <c r="AG105" s="249"/>
      <c r="AH105" s="249"/>
      <c r="AI105" s="250">
        <f t="shared" si="54"/>
        <v>0</v>
      </c>
      <c r="AJ105" s="249"/>
      <c r="AK105" s="249"/>
      <c r="AL105" s="250">
        <f t="shared" si="55"/>
        <v>0</v>
      </c>
      <c r="AM105" s="249"/>
      <c r="AN105" s="249"/>
      <c r="AO105" s="250">
        <f t="shared" si="56"/>
        <v>0</v>
      </c>
      <c r="AP105" s="249"/>
      <c r="AQ105" s="249"/>
      <c r="AR105" s="250">
        <f t="shared" si="57"/>
        <v>0</v>
      </c>
      <c r="AS105" s="249"/>
      <c r="AT105" s="249"/>
      <c r="AU105" s="250">
        <f t="shared" si="58"/>
        <v>0</v>
      </c>
      <c r="AV105" s="249"/>
      <c r="AW105" s="249"/>
      <c r="AX105" s="250">
        <f t="shared" si="59"/>
        <v>0</v>
      </c>
      <c r="AY105" s="249"/>
      <c r="AZ105" s="249"/>
      <c r="BA105" s="250">
        <f t="shared" si="60"/>
        <v>0</v>
      </c>
      <c r="BB105" s="249"/>
      <c r="BC105" s="249"/>
      <c r="BD105" s="250">
        <f t="shared" si="61"/>
        <v>0</v>
      </c>
    </row>
    <row r="106" spans="1:56">
      <c r="A106" s="251"/>
      <c r="B106" s="259" t="s">
        <v>385</v>
      </c>
      <c r="C106" s="249">
        <v>4306</v>
      </c>
      <c r="D106" s="249">
        <v>4372</v>
      </c>
      <c r="E106" s="508">
        <f t="shared" si="66"/>
        <v>1.5327450069670228</v>
      </c>
      <c r="F106" s="249">
        <v>10941</v>
      </c>
      <c r="G106" s="249">
        <v>12528</v>
      </c>
      <c r="H106" s="437">
        <f t="shared" si="67"/>
        <v>14.505072662462299</v>
      </c>
      <c r="I106" s="249">
        <v>4222</v>
      </c>
      <c r="J106" s="249">
        <v>5038</v>
      </c>
      <c r="K106" s="437">
        <f t="shared" si="68"/>
        <v>19.327333017527238</v>
      </c>
      <c r="L106" s="249">
        <v>9800</v>
      </c>
      <c r="M106" s="249">
        <v>13194</v>
      </c>
      <c r="N106" s="250">
        <f t="shared" si="69"/>
        <v>34.632653061224488</v>
      </c>
      <c r="O106" s="249"/>
      <c r="P106" s="249"/>
      <c r="Q106" s="250">
        <f t="shared" si="48"/>
        <v>0</v>
      </c>
      <c r="R106" s="249"/>
      <c r="S106" s="249"/>
      <c r="T106" s="250">
        <f t="shared" si="49"/>
        <v>0</v>
      </c>
      <c r="U106" s="249"/>
      <c r="V106" s="249"/>
      <c r="W106" s="250">
        <f t="shared" si="50"/>
        <v>0</v>
      </c>
      <c r="X106" s="249"/>
      <c r="Y106" s="249"/>
      <c r="Z106" s="250">
        <f t="shared" si="51"/>
        <v>0</v>
      </c>
      <c r="AA106" s="249"/>
      <c r="AB106" s="249"/>
      <c r="AC106" s="250">
        <f t="shared" si="52"/>
        <v>0</v>
      </c>
      <c r="AD106" s="249"/>
      <c r="AE106" s="249"/>
      <c r="AF106" s="250">
        <f t="shared" si="53"/>
        <v>0</v>
      </c>
      <c r="AG106" s="249"/>
      <c r="AH106" s="249"/>
      <c r="AI106" s="250">
        <f t="shared" si="54"/>
        <v>0</v>
      </c>
      <c r="AJ106" s="249"/>
      <c r="AK106" s="249"/>
      <c r="AL106" s="250">
        <f t="shared" si="55"/>
        <v>0</v>
      </c>
      <c r="AM106" s="249"/>
      <c r="AN106" s="249"/>
      <c r="AO106" s="250">
        <f t="shared" si="56"/>
        <v>0</v>
      </c>
      <c r="AP106" s="249"/>
      <c r="AQ106" s="249"/>
      <c r="AR106" s="250">
        <f t="shared" si="57"/>
        <v>0</v>
      </c>
      <c r="AS106" s="249"/>
      <c r="AT106" s="249"/>
      <c r="AU106" s="250">
        <f t="shared" si="58"/>
        <v>0</v>
      </c>
      <c r="AV106" s="249"/>
      <c r="AW106" s="249"/>
      <c r="AX106" s="250">
        <f t="shared" si="59"/>
        <v>0</v>
      </c>
      <c r="AY106" s="249"/>
      <c r="AZ106" s="249"/>
      <c r="BA106" s="250">
        <f t="shared" si="60"/>
        <v>0</v>
      </c>
      <c r="BB106" s="249"/>
      <c r="BC106" s="249"/>
      <c r="BD106" s="250">
        <f t="shared" si="61"/>
        <v>0</v>
      </c>
    </row>
    <row r="107" spans="1:56">
      <c r="A107" s="251"/>
      <c r="B107" s="259" t="s">
        <v>386</v>
      </c>
      <c r="C107" s="249">
        <v>3811.9</v>
      </c>
      <c r="D107" s="249">
        <v>4023.9</v>
      </c>
      <c r="E107" s="508">
        <f t="shared" si="66"/>
        <v>5.561530995041843</v>
      </c>
      <c r="F107" s="249">
        <v>9698</v>
      </c>
      <c r="G107" s="249">
        <v>10773.46</v>
      </c>
      <c r="H107" s="437">
        <f t="shared" si="67"/>
        <v>11.08950299030727</v>
      </c>
      <c r="I107" s="249">
        <v>3814.9</v>
      </c>
      <c r="J107" s="249">
        <v>4154.6000000000004</v>
      </c>
      <c r="K107" s="437">
        <f t="shared" si="68"/>
        <v>8.9045584418988764</v>
      </c>
      <c r="L107" s="249">
        <v>9360.6</v>
      </c>
      <c r="M107" s="249">
        <v>10775.28</v>
      </c>
      <c r="N107" s="250">
        <f t="shared" si="69"/>
        <v>15.113133773476061</v>
      </c>
      <c r="O107" s="249"/>
      <c r="P107" s="249"/>
      <c r="Q107" s="250">
        <f t="shared" si="48"/>
        <v>0</v>
      </c>
      <c r="R107" s="249"/>
      <c r="S107" s="249"/>
      <c r="T107" s="250">
        <f t="shared" si="49"/>
        <v>0</v>
      </c>
      <c r="U107" s="249"/>
      <c r="V107" s="249"/>
      <c r="W107" s="250">
        <f t="shared" si="50"/>
        <v>0</v>
      </c>
      <c r="X107" s="249"/>
      <c r="Y107" s="249"/>
      <c r="Z107" s="250">
        <f t="shared" si="51"/>
        <v>0</v>
      </c>
      <c r="AA107" s="249"/>
      <c r="AB107" s="249"/>
      <c r="AC107" s="250">
        <f t="shared" si="52"/>
        <v>0</v>
      </c>
      <c r="AD107" s="249"/>
      <c r="AE107" s="249"/>
      <c r="AF107" s="250">
        <f t="shared" si="53"/>
        <v>0</v>
      </c>
      <c r="AG107" s="249"/>
      <c r="AH107" s="249"/>
      <c r="AI107" s="250">
        <f t="shared" si="54"/>
        <v>0</v>
      </c>
      <c r="AJ107" s="249"/>
      <c r="AK107" s="249"/>
      <c r="AL107" s="250">
        <f t="shared" si="55"/>
        <v>0</v>
      </c>
      <c r="AM107" s="249"/>
      <c r="AN107" s="249"/>
      <c r="AO107" s="250">
        <f t="shared" si="56"/>
        <v>0</v>
      </c>
      <c r="AP107" s="249"/>
      <c r="AQ107" s="249"/>
      <c r="AR107" s="250">
        <f t="shared" si="57"/>
        <v>0</v>
      </c>
      <c r="AS107" s="249"/>
      <c r="AT107" s="249"/>
      <c r="AU107" s="250">
        <f t="shared" si="58"/>
        <v>0</v>
      </c>
      <c r="AV107" s="249"/>
      <c r="AW107" s="249"/>
      <c r="AX107" s="250">
        <f t="shared" si="59"/>
        <v>0</v>
      </c>
      <c r="AY107" s="249"/>
      <c r="AZ107" s="249"/>
      <c r="BA107" s="250">
        <f t="shared" si="60"/>
        <v>0</v>
      </c>
      <c r="BB107" s="249"/>
      <c r="BC107" s="249"/>
      <c r="BD107" s="250">
        <f t="shared" si="61"/>
        <v>0</v>
      </c>
    </row>
    <row r="108" spans="1:56">
      <c r="A108" s="251"/>
      <c r="B108" s="259" t="s">
        <v>387</v>
      </c>
      <c r="C108" s="249">
        <v>3667.98</v>
      </c>
      <c r="D108" s="249">
        <v>3945</v>
      </c>
      <c r="E108" s="508">
        <f t="shared" si="66"/>
        <v>7.5523857818199662</v>
      </c>
      <c r="F108" s="249">
        <v>9186.5</v>
      </c>
      <c r="G108" s="249">
        <v>10080.25</v>
      </c>
      <c r="H108" s="437">
        <f t="shared" si="67"/>
        <v>9.7289500898056929</v>
      </c>
      <c r="I108" s="249">
        <v>3786</v>
      </c>
      <c r="J108" s="249">
        <v>4662.3</v>
      </c>
      <c r="K108" s="437">
        <f t="shared" si="68"/>
        <v>23.145800316957217</v>
      </c>
      <c r="L108" s="249">
        <v>9524.0499999999993</v>
      </c>
      <c r="M108" s="249">
        <v>10960</v>
      </c>
      <c r="N108" s="250">
        <f t="shared" si="69"/>
        <v>15.077094303368849</v>
      </c>
      <c r="O108" s="249"/>
      <c r="P108" s="249"/>
      <c r="Q108" s="250">
        <f t="shared" si="48"/>
        <v>0</v>
      </c>
      <c r="R108" s="249"/>
      <c r="S108" s="249"/>
      <c r="T108" s="250">
        <f t="shared" si="49"/>
        <v>0</v>
      </c>
      <c r="U108" s="249"/>
      <c r="V108" s="249"/>
      <c r="W108" s="250">
        <f t="shared" si="50"/>
        <v>0</v>
      </c>
      <c r="X108" s="249"/>
      <c r="Y108" s="249"/>
      <c r="Z108" s="250">
        <f t="shared" si="51"/>
        <v>0</v>
      </c>
      <c r="AA108" s="249"/>
      <c r="AB108" s="249"/>
      <c r="AC108" s="250">
        <f t="shared" si="52"/>
        <v>0</v>
      </c>
      <c r="AD108" s="249"/>
      <c r="AE108" s="249"/>
      <c r="AF108" s="250">
        <f t="shared" si="53"/>
        <v>0</v>
      </c>
      <c r="AG108" s="249"/>
      <c r="AH108" s="249"/>
      <c r="AI108" s="250">
        <f t="shared" si="54"/>
        <v>0</v>
      </c>
      <c r="AJ108" s="249"/>
      <c r="AK108" s="249"/>
      <c r="AL108" s="250">
        <f t="shared" si="55"/>
        <v>0</v>
      </c>
      <c r="AM108" s="249"/>
      <c r="AN108" s="249"/>
      <c r="AO108" s="250">
        <f t="shared" si="56"/>
        <v>0</v>
      </c>
      <c r="AP108" s="249"/>
      <c r="AQ108" s="249"/>
      <c r="AR108" s="250">
        <f t="shared" si="57"/>
        <v>0</v>
      </c>
      <c r="AS108" s="249"/>
      <c r="AT108" s="249"/>
      <c r="AU108" s="250">
        <f t="shared" si="58"/>
        <v>0</v>
      </c>
      <c r="AV108" s="249"/>
      <c r="AW108" s="249"/>
      <c r="AX108" s="250">
        <f t="shared" si="59"/>
        <v>0</v>
      </c>
      <c r="AY108" s="249"/>
      <c r="AZ108" s="249"/>
      <c r="BA108" s="250">
        <f t="shared" si="60"/>
        <v>0</v>
      </c>
      <c r="BB108" s="249"/>
      <c r="BC108" s="249"/>
      <c r="BD108" s="250">
        <f t="shared" si="61"/>
        <v>0</v>
      </c>
    </row>
    <row r="109" spans="1:56">
      <c r="A109" s="251"/>
      <c r="B109" s="259" t="s">
        <v>388</v>
      </c>
      <c r="C109" s="249"/>
      <c r="D109" s="249"/>
      <c r="E109" s="508">
        <f t="shared" si="66"/>
        <v>0</v>
      </c>
      <c r="F109" s="249"/>
      <c r="G109" s="249"/>
      <c r="H109" s="437">
        <f t="shared" si="67"/>
        <v>0</v>
      </c>
      <c r="I109" s="249"/>
      <c r="J109" s="249"/>
      <c r="K109" s="437">
        <f t="shared" si="68"/>
        <v>0</v>
      </c>
      <c r="L109" s="249"/>
      <c r="M109" s="249"/>
      <c r="N109" s="250">
        <f t="shared" si="69"/>
        <v>0</v>
      </c>
      <c r="O109" s="249"/>
      <c r="P109" s="249"/>
      <c r="Q109" s="250">
        <f t="shared" si="48"/>
        <v>0</v>
      </c>
      <c r="R109" s="249"/>
      <c r="S109" s="249"/>
      <c r="T109" s="250">
        <f t="shared" si="49"/>
        <v>0</v>
      </c>
      <c r="U109" s="249"/>
      <c r="V109" s="249"/>
      <c r="W109" s="250">
        <f t="shared" si="50"/>
        <v>0</v>
      </c>
      <c r="X109" s="249"/>
      <c r="Y109" s="249"/>
      <c r="Z109" s="250">
        <f t="shared" si="51"/>
        <v>0</v>
      </c>
      <c r="AA109" s="249"/>
      <c r="AB109" s="249"/>
      <c r="AC109" s="250">
        <f t="shared" si="52"/>
        <v>0</v>
      </c>
      <c r="AD109" s="249"/>
      <c r="AE109" s="249"/>
      <c r="AF109" s="250">
        <f t="shared" si="53"/>
        <v>0</v>
      </c>
      <c r="AG109" s="249"/>
      <c r="AH109" s="249"/>
      <c r="AI109" s="250">
        <f t="shared" si="54"/>
        <v>0</v>
      </c>
      <c r="AJ109" s="249"/>
      <c r="AK109" s="249"/>
      <c r="AL109" s="250">
        <f t="shared" si="55"/>
        <v>0</v>
      </c>
      <c r="AM109" s="249"/>
      <c r="AN109" s="249"/>
      <c r="AO109" s="250">
        <f t="shared" si="56"/>
        <v>0</v>
      </c>
      <c r="AP109" s="249"/>
      <c r="AQ109" s="249"/>
      <c r="AR109" s="250">
        <f t="shared" si="57"/>
        <v>0</v>
      </c>
      <c r="AS109" s="249"/>
      <c r="AT109" s="249"/>
      <c r="AU109" s="250">
        <f t="shared" si="58"/>
        <v>0</v>
      </c>
      <c r="AV109" s="249"/>
      <c r="AW109" s="249"/>
      <c r="AX109" s="250">
        <f t="shared" si="59"/>
        <v>0</v>
      </c>
      <c r="AY109" s="249"/>
      <c r="AZ109" s="249"/>
      <c r="BA109" s="250">
        <f t="shared" si="60"/>
        <v>0</v>
      </c>
      <c r="BB109" s="249"/>
      <c r="BC109" s="249"/>
      <c r="BD109" s="250">
        <f t="shared" si="61"/>
        <v>0</v>
      </c>
    </row>
    <row r="110" spans="1:56">
      <c r="A110" s="251"/>
      <c r="B110" s="259" t="s">
        <v>389</v>
      </c>
      <c r="C110" s="249"/>
      <c r="D110" s="249"/>
      <c r="E110" s="508">
        <f t="shared" si="66"/>
        <v>0</v>
      </c>
      <c r="F110" s="249"/>
      <c r="G110" s="249"/>
      <c r="H110" s="437">
        <f t="shared" si="67"/>
        <v>0</v>
      </c>
      <c r="I110" s="249"/>
      <c r="J110" s="249"/>
      <c r="K110" s="437">
        <f t="shared" si="68"/>
        <v>0</v>
      </c>
      <c r="L110" s="249"/>
      <c r="M110" s="249"/>
      <c r="N110" s="250">
        <f t="shared" si="69"/>
        <v>0</v>
      </c>
      <c r="O110" s="249"/>
      <c r="P110" s="249"/>
      <c r="Q110" s="250">
        <f t="shared" si="48"/>
        <v>0</v>
      </c>
      <c r="R110" s="249"/>
      <c r="S110" s="249"/>
      <c r="T110" s="250">
        <f t="shared" si="49"/>
        <v>0</v>
      </c>
      <c r="U110" s="249"/>
      <c r="V110" s="249"/>
      <c r="W110" s="250">
        <f t="shared" si="50"/>
        <v>0</v>
      </c>
      <c r="X110" s="249"/>
      <c r="Y110" s="249"/>
      <c r="Z110" s="250">
        <f t="shared" si="51"/>
        <v>0</v>
      </c>
      <c r="AA110" s="249"/>
      <c r="AB110" s="249"/>
      <c r="AC110" s="250">
        <f t="shared" si="52"/>
        <v>0</v>
      </c>
      <c r="AD110" s="249"/>
      <c r="AE110" s="249"/>
      <c r="AF110" s="250">
        <f t="shared" si="53"/>
        <v>0</v>
      </c>
      <c r="AG110" s="249"/>
      <c r="AH110" s="249"/>
      <c r="AI110" s="250">
        <f t="shared" si="54"/>
        <v>0</v>
      </c>
      <c r="AJ110" s="249"/>
      <c r="AK110" s="249"/>
      <c r="AL110" s="250">
        <f t="shared" si="55"/>
        <v>0</v>
      </c>
      <c r="AM110" s="249"/>
      <c r="AN110" s="249"/>
      <c r="AO110" s="250">
        <f t="shared" si="56"/>
        <v>0</v>
      </c>
      <c r="AP110" s="249"/>
      <c r="AQ110" s="249"/>
      <c r="AR110" s="250">
        <f t="shared" si="57"/>
        <v>0</v>
      </c>
      <c r="AS110" s="249"/>
      <c r="AT110" s="249"/>
      <c r="AU110" s="250">
        <f t="shared" si="58"/>
        <v>0</v>
      </c>
      <c r="AV110" s="249"/>
      <c r="AW110" s="249"/>
      <c r="AX110" s="250">
        <f t="shared" si="59"/>
        <v>0</v>
      </c>
      <c r="AY110" s="249"/>
      <c r="AZ110" s="249"/>
      <c r="BA110" s="250">
        <f t="shared" si="60"/>
        <v>0</v>
      </c>
      <c r="BB110" s="249"/>
      <c r="BC110" s="249"/>
      <c r="BD110" s="250">
        <f t="shared" si="61"/>
        <v>0</v>
      </c>
    </row>
    <row r="111" spans="1:56" s="255" customFormat="1" ht="19.5" customHeight="1">
      <c r="A111" s="252"/>
      <c r="B111" s="431" t="s">
        <v>221</v>
      </c>
      <c r="C111" s="425">
        <v>3771</v>
      </c>
      <c r="D111" s="425">
        <v>4016</v>
      </c>
      <c r="E111" s="509">
        <f t="shared" si="66"/>
        <v>6.4969504110315563</v>
      </c>
      <c r="F111" s="425">
        <v>9698</v>
      </c>
      <c r="G111" s="425">
        <v>10668.6</v>
      </c>
      <c r="H111" s="438">
        <f t="shared" si="67"/>
        <v>10.008249123530629</v>
      </c>
      <c r="I111" s="425">
        <v>3814.9</v>
      </c>
      <c r="J111" s="425">
        <v>4741.7</v>
      </c>
      <c r="K111" s="438">
        <f t="shared" si="68"/>
        <v>24.294214789378483</v>
      </c>
      <c r="L111" s="425">
        <v>9659.6</v>
      </c>
      <c r="M111" s="425">
        <v>11153</v>
      </c>
      <c r="N111" s="421">
        <f t="shared" si="69"/>
        <v>15.460267505900859</v>
      </c>
      <c r="O111" s="425"/>
      <c r="P111" s="425"/>
      <c r="Q111" s="421">
        <f t="shared" si="48"/>
        <v>0</v>
      </c>
      <c r="R111" s="425"/>
      <c r="S111" s="425"/>
      <c r="T111" s="421">
        <f t="shared" si="49"/>
        <v>0</v>
      </c>
      <c r="U111" s="425"/>
      <c r="V111" s="425"/>
      <c r="W111" s="421">
        <f t="shared" si="50"/>
        <v>0</v>
      </c>
      <c r="X111" s="425"/>
      <c r="Y111" s="425"/>
      <c r="Z111" s="421">
        <f t="shared" si="51"/>
        <v>0</v>
      </c>
      <c r="AA111" s="425"/>
      <c r="AB111" s="425"/>
      <c r="AC111" s="421">
        <f t="shared" si="52"/>
        <v>0</v>
      </c>
      <c r="AD111" s="425"/>
      <c r="AE111" s="425"/>
      <c r="AF111" s="421">
        <f t="shared" si="53"/>
        <v>0</v>
      </c>
      <c r="AG111" s="425"/>
      <c r="AH111" s="425"/>
      <c r="AI111" s="421">
        <f t="shared" si="54"/>
        <v>0</v>
      </c>
      <c r="AJ111" s="425"/>
      <c r="AK111" s="425"/>
      <c r="AL111" s="421">
        <f t="shared" si="55"/>
        <v>0</v>
      </c>
      <c r="AM111" s="425"/>
      <c r="AN111" s="425"/>
      <c r="AO111" s="421">
        <f t="shared" si="56"/>
        <v>0</v>
      </c>
      <c r="AP111" s="425"/>
      <c r="AQ111" s="425"/>
      <c r="AR111" s="421">
        <f t="shared" si="57"/>
        <v>0</v>
      </c>
      <c r="AS111" s="425"/>
      <c r="AT111" s="425"/>
      <c r="AU111" s="421">
        <f t="shared" si="58"/>
        <v>0</v>
      </c>
      <c r="AV111" s="425"/>
      <c r="AW111" s="425"/>
      <c r="AX111" s="421">
        <f t="shared" si="59"/>
        <v>0</v>
      </c>
      <c r="AY111" s="425"/>
      <c r="AZ111" s="425"/>
      <c r="BA111" s="421">
        <f t="shared" si="60"/>
        <v>0</v>
      </c>
      <c r="BB111" s="425"/>
      <c r="BC111" s="425"/>
      <c r="BD111" s="421">
        <f t="shared" si="61"/>
        <v>0</v>
      </c>
    </row>
    <row r="112" spans="1:56">
      <c r="A112" s="251"/>
      <c r="B112" s="259" t="s">
        <v>390</v>
      </c>
      <c r="C112" s="249">
        <v>3401.5</v>
      </c>
      <c r="D112" s="249">
        <v>3576</v>
      </c>
      <c r="E112" s="508">
        <f t="shared" si="66"/>
        <v>5.1300896663236806</v>
      </c>
      <c r="F112" s="249">
        <v>5983.5</v>
      </c>
      <c r="G112" s="249">
        <v>6284</v>
      </c>
      <c r="H112" s="437">
        <f t="shared" si="67"/>
        <v>5.0221442299657397</v>
      </c>
      <c r="I112" s="249"/>
      <c r="J112" s="249"/>
      <c r="K112" s="437">
        <f t="shared" si="68"/>
        <v>0</v>
      </c>
      <c r="L112" s="249"/>
      <c r="M112" s="249"/>
      <c r="N112" s="250">
        <f t="shared" si="69"/>
        <v>0</v>
      </c>
      <c r="O112" s="249"/>
      <c r="P112" s="249"/>
      <c r="Q112" s="250">
        <f t="shared" si="48"/>
        <v>0</v>
      </c>
      <c r="R112" s="249"/>
      <c r="S112" s="249"/>
      <c r="T112" s="250">
        <f t="shared" si="49"/>
        <v>0</v>
      </c>
      <c r="U112" s="249"/>
      <c r="V112" s="249"/>
      <c r="W112" s="250">
        <f t="shared" si="50"/>
        <v>0</v>
      </c>
      <c r="X112" s="249"/>
      <c r="Y112" s="249"/>
      <c r="Z112" s="250">
        <f t="shared" si="51"/>
        <v>0</v>
      </c>
      <c r="AA112" s="249"/>
      <c r="AB112" s="249"/>
      <c r="AC112" s="250">
        <f t="shared" si="52"/>
        <v>0</v>
      </c>
      <c r="AD112" s="249"/>
      <c r="AE112" s="249"/>
      <c r="AF112" s="250">
        <f t="shared" si="53"/>
        <v>0</v>
      </c>
      <c r="AG112" s="249"/>
      <c r="AH112" s="249"/>
      <c r="AI112" s="250">
        <f t="shared" si="54"/>
        <v>0</v>
      </c>
      <c r="AJ112" s="249"/>
      <c r="AK112" s="249"/>
      <c r="AL112" s="250">
        <f t="shared" si="55"/>
        <v>0</v>
      </c>
      <c r="AM112" s="249"/>
      <c r="AN112" s="249"/>
      <c r="AO112" s="250">
        <f t="shared" si="56"/>
        <v>0</v>
      </c>
      <c r="AP112" s="249"/>
      <c r="AQ112" s="249"/>
      <c r="AR112" s="250">
        <f t="shared" si="57"/>
        <v>0</v>
      </c>
      <c r="AS112" s="249"/>
      <c r="AT112" s="249"/>
      <c r="AU112" s="250">
        <f t="shared" si="58"/>
        <v>0</v>
      </c>
      <c r="AV112" s="249"/>
      <c r="AW112" s="249"/>
      <c r="AX112" s="250">
        <f t="shared" si="59"/>
        <v>0</v>
      </c>
      <c r="AY112" s="249"/>
      <c r="AZ112" s="249"/>
      <c r="BA112" s="250">
        <f t="shared" si="60"/>
        <v>0</v>
      </c>
      <c r="BB112" s="249"/>
      <c r="BC112" s="249"/>
      <c r="BD112" s="250">
        <f t="shared" si="61"/>
        <v>0</v>
      </c>
    </row>
    <row r="113" spans="1:56">
      <c r="A113" s="251"/>
      <c r="B113" s="259" t="s">
        <v>391</v>
      </c>
      <c r="C113" s="249">
        <v>2002</v>
      </c>
      <c r="D113" s="249">
        <v>2102</v>
      </c>
      <c r="E113" s="508">
        <f t="shared" si="66"/>
        <v>4.9950049950049955</v>
      </c>
      <c r="F113" s="249">
        <v>4982</v>
      </c>
      <c r="G113" s="249">
        <v>5082</v>
      </c>
      <c r="H113" s="437">
        <f t="shared" si="67"/>
        <v>2.0072260136491367</v>
      </c>
      <c r="I113" s="249"/>
      <c r="J113" s="249"/>
      <c r="K113" s="437">
        <f t="shared" si="68"/>
        <v>0</v>
      </c>
      <c r="L113" s="249"/>
      <c r="M113" s="249"/>
      <c r="N113" s="250">
        <f t="shared" si="69"/>
        <v>0</v>
      </c>
      <c r="O113" s="249"/>
      <c r="P113" s="249"/>
      <c r="Q113" s="250">
        <f t="shared" si="48"/>
        <v>0</v>
      </c>
      <c r="R113" s="249"/>
      <c r="S113" s="249"/>
      <c r="T113" s="250">
        <f t="shared" si="49"/>
        <v>0</v>
      </c>
      <c r="U113" s="249"/>
      <c r="V113" s="249"/>
      <c r="W113" s="250">
        <f t="shared" si="50"/>
        <v>0</v>
      </c>
      <c r="X113" s="249"/>
      <c r="Y113" s="249"/>
      <c r="Z113" s="250">
        <f t="shared" si="51"/>
        <v>0</v>
      </c>
      <c r="AA113" s="249"/>
      <c r="AB113" s="249"/>
      <c r="AC113" s="250">
        <f t="shared" si="52"/>
        <v>0</v>
      </c>
      <c r="AD113" s="249"/>
      <c r="AE113" s="249"/>
      <c r="AF113" s="250">
        <f t="shared" si="53"/>
        <v>0</v>
      </c>
      <c r="AG113" s="249"/>
      <c r="AH113" s="249"/>
      <c r="AI113" s="250">
        <f t="shared" si="54"/>
        <v>0</v>
      </c>
      <c r="AJ113" s="249"/>
      <c r="AK113" s="249"/>
      <c r="AL113" s="250">
        <f t="shared" si="55"/>
        <v>0</v>
      </c>
      <c r="AM113" s="249"/>
      <c r="AN113" s="249"/>
      <c r="AO113" s="250">
        <f t="shared" si="56"/>
        <v>0</v>
      </c>
      <c r="AP113" s="249"/>
      <c r="AQ113" s="249"/>
      <c r="AR113" s="250">
        <f t="shared" si="57"/>
        <v>0</v>
      </c>
      <c r="AS113" s="249"/>
      <c r="AT113" s="249"/>
      <c r="AU113" s="250">
        <f t="shared" si="58"/>
        <v>0</v>
      </c>
      <c r="AV113" s="249"/>
      <c r="AW113" s="249"/>
      <c r="AX113" s="250">
        <f t="shared" si="59"/>
        <v>0</v>
      </c>
      <c r="AY113" s="249"/>
      <c r="AZ113" s="249"/>
      <c r="BA113" s="250">
        <f t="shared" si="60"/>
        <v>0</v>
      </c>
      <c r="BB113" s="249"/>
      <c r="BC113" s="249"/>
      <c r="BD113" s="250">
        <f t="shared" si="61"/>
        <v>0</v>
      </c>
    </row>
    <row r="114" spans="1:56">
      <c r="A114" s="251"/>
      <c r="B114" s="259" t="s">
        <v>392</v>
      </c>
      <c r="C114" s="249">
        <v>1854</v>
      </c>
      <c r="D114" s="249">
        <v>1968</v>
      </c>
      <c r="E114" s="508">
        <f t="shared" si="66"/>
        <v>6.1488673139158578</v>
      </c>
      <c r="F114" s="249">
        <v>4662</v>
      </c>
      <c r="G114" s="249">
        <v>4776</v>
      </c>
      <c r="H114" s="437">
        <f t="shared" si="67"/>
        <v>2.445302445302445</v>
      </c>
      <c r="I114" s="249"/>
      <c r="J114" s="249"/>
      <c r="K114" s="437">
        <f t="shared" si="68"/>
        <v>0</v>
      </c>
      <c r="L114" s="249"/>
      <c r="M114" s="249"/>
      <c r="N114" s="250">
        <f t="shared" si="69"/>
        <v>0</v>
      </c>
      <c r="O114" s="249"/>
      <c r="P114" s="249"/>
      <c r="Q114" s="250">
        <f t="shared" si="48"/>
        <v>0</v>
      </c>
      <c r="R114" s="249"/>
      <c r="S114" s="249"/>
      <c r="T114" s="250">
        <f t="shared" si="49"/>
        <v>0</v>
      </c>
      <c r="U114" s="249"/>
      <c r="V114" s="249"/>
      <c r="W114" s="250">
        <f t="shared" si="50"/>
        <v>0</v>
      </c>
      <c r="X114" s="249"/>
      <c r="Y114" s="249"/>
      <c r="Z114" s="250">
        <f t="shared" si="51"/>
        <v>0</v>
      </c>
      <c r="AA114" s="249"/>
      <c r="AB114" s="249"/>
      <c r="AC114" s="250">
        <f t="shared" si="52"/>
        <v>0</v>
      </c>
      <c r="AD114" s="249"/>
      <c r="AE114" s="249"/>
      <c r="AF114" s="250">
        <f t="shared" si="53"/>
        <v>0</v>
      </c>
      <c r="AG114" s="249"/>
      <c r="AH114" s="249"/>
      <c r="AI114" s="250">
        <f t="shared" si="54"/>
        <v>0</v>
      </c>
      <c r="AJ114" s="249"/>
      <c r="AK114" s="249"/>
      <c r="AL114" s="250">
        <f t="shared" si="55"/>
        <v>0</v>
      </c>
      <c r="AM114" s="249"/>
      <c r="AN114" s="249"/>
      <c r="AO114" s="250">
        <f t="shared" si="56"/>
        <v>0</v>
      </c>
      <c r="AP114" s="249"/>
      <c r="AQ114" s="249"/>
      <c r="AR114" s="250">
        <f t="shared" si="57"/>
        <v>0</v>
      </c>
      <c r="AS114" s="249"/>
      <c r="AT114" s="249"/>
      <c r="AU114" s="250">
        <f t="shared" si="58"/>
        <v>0</v>
      </c>
      <c r="AV114" s="249"/>
      <c r="AW114" s="249"/>
      <c r="AX114" s="250">
        <f t="shared" si="59"/>
        <v>0</v>
      </c>
      <c r="AY114" s="249"/>
      <c r="AZ114" s="249"/>
      <c r="BA114" s="250">
        <f t="shared" si="60"/>
        <v>0</v>
      </c>
      <c r="BB114" s="249"/>
      <c r="BC114" s="249"/>
      <c r="BD114" s="250">
        <f t="shared" si="61"/>
        <v>0</v>
      </c>
    </row>
    <row r="115" spans="1:56">
      <c r="A115" s="251"/>
      <c r="B115" s="259" t="s">
        <v>196</v>
      </c>
      <c r="C115" s="249">
        <v>1976</v>
      </c>
      <c r="D115" s="249">
        <v>2014</v>
      </c>
      <c r="E115" s="508">
        <f t="shared" si="66"/>
        <v>1.9230769230769231</v>
      </c>
      <c r="F115" s="249">
        <v>4086</v>
      </c>
      <c r="G115" s="249">
        <v>4164</v>
      </c>
      <c r="H115" s="437">
        <f t="shared" si="67"/>
        <v>1.908957415565345</v>
      </c>
      <c r="I115" s="249"/>
      <c r="J115" s="249"/>
      <c r="K115" s="437">
        <f t="shared" si="68"/>
        <v>0</v>
      </c>
      <c r="L115" s="249"/>
      <c r="M115" s="249"/>
      <c r="N115" s="250">
        <f t="shared" si="69"/>
        <v>0</v>
      </c>
      <c r="O115" s="249"/>
      <c r="P115" s="249"/>
      <c r="Q115" s="250">
        <f t="shared" si="48"/>
        <v>0</v>
      </c>
      <c r="R115" s="249"/>
      <c r="S115" s="249"/>
      <c r="T115" s="250">
        <f t="shared" si="49"/>
        <v>0</v>
      </c>
      <c r="U115" s="249"/>
      <c r="V115" s="249"/>
      <c r="W115" s="250">
        <f t="shared" si="50"/>
        <v>0</v>
      </c>
      <c r="X115" s="249"/>
      <c r="Y115" s="249"/>
      <c r="Z115" s="250">
        <f t="shared" si="51"/>
        <v>0</v>
      </c>
      <c r="AA115" s="249"/>
      <c r="AB115" s="249"/>
      <c r="AC115" s="250">
        <f t="shared" si="52"/>
        <v>0</v>
      </c>
      <c r="AD115" s="249"/>
      <c r="AE115" s="249"/>
      <c r="AF115" s="250">
        <f t="shared" si="53"/>
        <v>0</v>
      </c>
      <c r="AG115" s="249"/>
      <c r="AH115" s="249"/>
      <c r="AI115" s="250">
        <f t="shared" si="54"/>
        <v>0</v>
      </c>
      <c r="AJ115" s="249"/>
      <c r="AK115" s="249"/>
      <c r="AL115" s="250">
        <f t="shared" si="55"/>
        <v>0</v>
      </c>
      <c r="AM115" s="249"/>
      <c r="AN115" s="249"/>
      <c r="AO115" s="250">
        <f t="shared" si="56"/>
        <v>0</v>
      </c>
      <c r="AP115" s="249"/>
      <c r="AQ115" s="249"/>
      <c r="AR115" s="250">
        <f t="shared" si="57"/>
        <v>0</v>
      </c>
      <c r="AS115" s="249"/>
      <c r="AT115" s="249"/>
      <c r="AU115" s="250">
        <f t="shared" si="58"/>
        <v>0</v>
      </c>
      <c r="AV115" s="249"/>
      <c r="AW115" s="249"/>
      <c r="AX115" s="250">
        <f t="shared" si="59"/>
        <v>0</v>
      </c>
      <c r="AY115" s="249"/>
      <c r="AZ115" s="249"/>
      <c r="BA115" s="250">
        <f t="shared" si="60"/>
        <v>0</v>
      </c>
      <c r="BB115" s="249"/>
      <c r="BC115" s="249"/>
      <c r="BD115" s="250">
        <f t="shared" si="61"/>
        <v>0</v>
      </c>
    </row>
    <row r="116" spans="1:56" s="255" customFormat="1" ht="20.25" customHeight="1">
      <c r="A116" s="252"/>
      <c r="B116" s="431" t="s">
        <v>550</v>
      </c>
      <c r="C116" s="425">
        <v>1989</v>
      </c>
      <c r="D116" s="425">
        <v>2058</v>
      </c>
      <c r="E116" s="509">
        <f t="shared" si="66"/>
        <v>3.4690799396681751</v>
      </c>
      <c r="F116" s="425">
        <v>4520</v>
      </c>
      <c r="G116" s="425">
        <v>4317</v>
      </c>
      <c r="H116" s="421">
        <f t="shared" si="67"/>
        <v>-4.4911504424778759</v>
      </c>
      <c r="I116" s="425"/>
      <c r="J116" s="425"/>
      <c r="K116" s="438">
        <f t="shared" si="68"/>
        <v>0</v>
      </c>
      <c r="L116" s="425"/>
      <c r="M116" s="425"/>
      <c r="N116" s="421">
        <f t="shared" si="69"/>
        <v>0</v>
      </c>
      <c r="O116" s="425"/>
      <c r="P116" s="425"/>
      <c r="Q116" s="421">
        <f t="shared" si="48"/>
        <v>0</v>
      </c>
      <c r="R116" s="425"/>
      <c r="S116" s="425"/>
      <c r="T116" s="421">
        <f t="shared" si="49"/>
        <v>0</v>
      </c>
      <c r="U116" s="425"/>
      <c r="V116" s="425"/>
      <c r="W116" s="421">
        <f t="shared" si="50"/>
        <v>0</v>
      </c>
      <c r="X116" s="425"/>
      <c r="Y116" s="425"/>
      <c r="Z116" s="421">
        <f t="shared" si="51"/>
        <v>0</v>
      </c>
      <c r="AA116" s="425"/>
      <c r="AB116" s="425"/>
      <c r="AC116" s="421">
        <f t="shared" si="52"/>
        <v>0</v>
      </c>
      <c r="AD116" s="425"/>
      <c r="AE116" s="425"/>
      <c r="AF116" s="421">
        <f t="shared" si="53"/>
        <v>0</v>
      </c>
      <c r="AG116" s="425"/>
      <c r="AH116" s="425"/>
      <c r="AI116" s="421">
        <f t="shared" si="54"/>
        <v>0</v>
      </c>
      <c r="AJ116" s="425"/>
      <c r="AK116" s="425"/>
      <c r="AL116" s="421">
        <f t="shared" si="55"/>
        <v>0</v>
      </c>
      <c r="AM116" s="425"/>
      <c r="AN116" s="425"/>
      <c r="AO116" s="421">
        <f t="shared" si="56"/>
        <v>0</v>
      </c>
      <c r="AP116" s="425"/>
      <c r="AQ116" s="425"/>
      <c r="AR116" s="421">
        <f t="shared" si="57"/>
        <v>0</v>
      </c>
      <c r="AS116" s="425"/>
      <c r="AT116" s="425"/>
      <c r="AU116" s="421">
        <f t="shared" si="58"/>
        <v>0</v>
      </c>
      <c r="AV116" s="425"/>
      <c r="AW116" s="425"/>
      <c r="AX116" s="421">
        <f t="shared" si="59"/>
        <v>0</v>
      </c>
      <c r="AY116" s="425"/>
      <c r="AZ116" s="425"/>
      <c r="BA116" s="421">
        <f t="shared" si="60"/>
        <v>0</v>
      </c>
      <c r="BB116" s="425"/>
      <c r="BC116" s="425"/>
      <c r="BD116" s="421">
        <f t="shared" si="61"/>
        <v>0</v>
      </c>
    </row>
    <row r="117" spans="1:56">
      <c r="A117" s="251"/>
      <c r="B117" s="259" t="s">
        <v>197</v>
      </c>
      <c r="C117" s="249">
        <v>1522</v>
      </c>
      <c r="D117" s="249">
        <v>1594</v>
      </c>
      <c r="E117" s="508">
        <f t="shared" si="66"/>
        <v>4.7306176084099869</v>
      </c>
      <c r="F117" s="249">
        <v>2842</v>
      </c>
      <c r="G117" s="249">
        <v>2986</v>
      </c>
      <c r="H117" s="437">
        <f t="shared" si="67"/>
        <v>5.0668543279380716</v>
      </c>
      <c r="I117" s="249"/>
      <c r="J117" s="249"/>
      <c r="K117" s="437">
        <f t="shared" si="68"/>
        <v>0</v>
      </c>
      <c r="L117" s="249"/>
      <c r="M117" s="249"/>
      <c r="N117" s="250">
        <f t="shared" si="69"/>
        <v>0</v>
      </c>
      <c r="O117" s="249"/>
      <c r="P117" s="249"/>
      <c r="Q117" s="250">
        <f t="shared" si="48"/>
        <v>0</v>
      </c>
      <c r="R117" s="249"/>
      <c r="S117" s="249"/>
      <c r="T117" s="250">
        <f t="shared" si="49"/>
        <v>0</v>
      </c>
      <c r="U117" s="249"/>
      <c r="V117" s="249"/>
      <c r="W117" s="250">
        <f t="shared" si="50"/>
        <v>0</v>
      </c>
      <c r="X117" s="249"/>
      <c r="Y117" s="249"/>
      <c r="Z117" s="250">
        <f t="shared" si="51"/>
        <v>0</v>
      </c>
      <c r="AA117" s="249"/>
      <c r="AB117" s="249"/>
      <c r="AC117" s="250">
        <f t="shared" si="52"/>
        <v>0</v>
      </c>
      <c r="AD117" s="249"/>
      <c r="AE117" s="249"/>
      <c r="AF117" s="250">
        <f t="shared" si="53"/>
        <v>0</v>
      </c>
      <c r="AG117" s="249"/>
      <c r="AH117" s="249"/>
      <c r="AI117" s="250">
        <f t="shared" si="54"/>
        <v>0</v>
      </c>
      <c r="AJ117" s="249"/>
      <c r="AK117" s="249"/>
      <c r="AL117" s="250">
        <f t="shared" si="55"/>
        <v>0</v>
      </c>
      <c r="AM117" s="249"/>
      <c r="AN117" s="249"/>
      <c r="AO117" s="250">
        <f t="shared" si="56"/>
        <v>0</v>
      </c>
      <c r="AP117" s="249"/>
      <c r="AQ117" s="249"/>
      <c r="AR117" s="250">
        <f t="shared" si="57"/>
        <v>0</v>
      </c>
      <c r="AS117" s="249"/>
      <c r="AT117" s="249"/>
      <c r="AU117" s="250">
        <f t="shared" si="58"/>
        <v>0</v>
      </c>
      <c r="AV117" s="249"/>
      <c r="AW117" s="249"/>
      <c r="AX117" s="250">
        <f t="shared" si="59"/>
        <v>0</v>
      </c>
      <c r="AY117" s="249"/>
      <c r="AZ117" s="249"/>
      <c r="BA117" s="250">
        <f t="shared" si="60"/>
        <v>0</v>
      </c>
      <c r="BB117" s="249"/>
      <c r="BC117" s="249"/>
      <c r="BD117" s="250">
        <f t="shared" si="61"/>
        <v>0</v>
      </c>
    </row>
    <row r="118" spans="1:56">
      <c r="A118" s="251"/>
      <c r="B118" s="259" t="s">
        <v>326</v>
      </c>
      <c r="C118" s="249">
        <v>1552</v>
      </c>
      <c r="D118" s="249">
        <v>1624</v>
      </c>
      <c r="E118" s="508">
        <f t="shared" si="66"/>
        <v>4.6391752577319592</v>
      </c>
      <c r="F118" s="249">
        <v>2872</v>
      </c>
      <c r="G118" s="249">
        <v>3016</v>
      </c>
      <c r="H118" s="437">
        <f t="shared" si="67"/>
        <v>5.0139275766016711</v>
      </c>
      <c r="I118" s="249"/>
      <c r="J118" s="249"/>
      <c r="K118" s="437">
        <f t="shared" si="68"/>
        <v>0</v>
      </c>
      <c r="L118" s="249"/>
      <c r="M118" s="249"/>
      <c r="N118" s="250">
        <f t="shared" si="69"/>
        <v>0</v>
      </c>
      <c r="O118" s="249"/>
      <c r="P118" s="249"/>
      <c r="Q118" s="250">
        <f t="shared" si="48"/>
        <v>0</v>
      </c>
      <c r="R118" s="249"/>
      <c r="S118" s="249"/>
      <c r="T118" s="250">
        <f t="shared" si="49"/>
        <v>0</v>
      </c>
      <c r="U118" s="249"/>
      <c r="V118" s="249"/>
      <c r="W118" s="250">
        <f t="shared" si="50"/>
        <v>0</v>
      </c>
      <c r="X118" s="249"/>
      <c r="Y118" s="249"/>
      <c r="Z118" s="250">
        <f t="shared" si="51"/>
        <v>0</v>
      </c>
      <c r="AA118" s="249"/>
      <c r="AB118" s="249"/>
      <c r="AC118" s="250">
        <f t="shared" si="52"/>
        <v>0</v>
      </c>
      <c r="AD118" s="249"/>
      <c r="AE118" s="249"/>
      <c r="AF118" s="250">
        <f t="shared" si="53"/>
        <v>0</v>
      </c>
      <c r="AG118" s="249"/>
      <c r="AH118" s="249"/>
      <c r="AI118" s="250">
        <f t="shared" si="54"/>
        <v>0</v>
      </c>
      <c r="AJ118" s="249"/>
      <c r="AK118" s="249"/>
      <c r="AL118" s="250">
        <f t="shared" si="55"/>
        <v>0</v>
      </c>
      <c r="AM118" s="249"/>
      <c r="AN118" s="249"/>
      <c r="AO118" s="250">
        <f t="shared" si="56"/>
        <v>0</v>
      </c>
      <c r="AP118" s="249"/>
      <c r="AQ118" s="249"/>
      <c r="AR118" s="250">
        <f t="shared" si="57"/>
        <v>0</v>
      </c>
      <c r="AS118" s="249"/>
      <c r="AT118" s="249"/>
      <c r="AU118" s="250">
        <f t="shared" si="58"/>
        <v>0</v>
      </c>
      <c r="AV118" s="249"/>
      <c r="AW118" s="249"/>
      <c r="AX118" s="250">
        <f t="shared" si="59"/>
        <v>0</v>
      </c>
      <c r="AY118" s="249"/>
      <c r="AZ118" s="249"/>
      <c r="BA118" s="250">
        <f t="shared" si="60"/>
        <v>0</v>
      </c>
      <c r="BB118" s="249"/>
      <c r="BC118" s="249"/>
      <c r="BD118" s="250">
        <f t="shared" si="61"/>
        <v>0</v>
      </c>
    </row>
    <row r="119" spans="1:56">
      <c r="A119" s="251"/>
      <c r="B119" s="259" t="s">
        <v>327</v>
      </c>
      <c r="C119" s="249">
        <v>804</v>
      </c>
      <c r="D119" s="249">
        <v>974</v>
      </c>
      <c r="E119" s="512">
        <f t="shared" si="66"/>
        <v>21.144278606965177</v>
      </c>
      <c r="F119" s="249">
        <v>1394.8</v>
      </c>
      <c r="G119" s="249">
        <v>1604</v>
      </c>
      <c r="H119" s="466">
        <f t="shared" si="67"/>
        <v>14.998566102667052</v>
      </c>
      <c r="I119" s="249"/>
      <c r="J119" s="249"/>
      <c r="K119" s="437">
        <f t="shared" si="68"/>
        <v>0</v>
      </c>
      <c r="L119" s="249"/>
      <c r="M119" s="249"/>
      <c r="N119" s="250">
        <f t="shared" si="69"/>
        <v>0</v>
      </c>
      <c r="O119" s="249"/>
      <c r="P119" s="249"/>
      <c r="Q119" s="250">
        <f t="shared" si="48"/>
        <v>0</v>
      </c>
      <c r="R119" s="249"/>
      <c r="S119" s="249"/>
      <c r="T119" s="250">
        <f t="shared" si="49"/>
        <v>0</v>
      </c>
      <c r="U119" s="249"/>
      <c r="V119" s="249"/>
      <c r="W119" s="250">
        <f t="shared" si="50"/>
        <v>0</v>
      </c>
      <c r="X119" s="249"/>
      <c r="Y119" s="249"/>
      <c r="Z119" s="250">
        <f t="shared" si="51"/>
        <v>0</v>
      </c>
      <c r="AA119" s="249"/>
      <c r="AB119" s="249"/>
      <c r="AC119" s="250">
        <f t="shared" si="52"/>
        <v>0</v>
      </c>
      <c r="AD119" s="249"/>
      <c r="AE119" s="249"/>
      <c r="AF119" s="250">
        <f t="shared" si="53"/>
        <v>0</v>
      </c>
      <c r="AG119" s="249"/>
      <c r="AH119" s="249"/>
      <c r="AI119" s="250">
        <f t="shared" si="54"/>
        <v>0</v>
      </c>
      <c r="AJ119" s="249"/>
      <c r="AK119" s="249"/>
      <c r="AL119" s="250">
        <f t="shared" si="55"/>
        <v>0</v>
      </c>
      <c r="AM119" s="249"/>
      <c r="AN119" s="249"/>
      <c r="AO119" s="250">
        <f t="shared" si="56"/>
        <v>0</v>
      </c>
      <c r="AP119" s="249"/>
      <c r="AQ119" s="249"/>
      <c r="AR119" s="250">
        <f t="shared" si="57"/>
        <v>0</v>
      </c>
      <c r="AS119" s="249"/>
      <c r="AT119" s="249"/>
      <c r="AU119" s="250">
        <f t="shared" si="58"/>
        <v>0</v>
      </c>
      <c r="AV119" s="249"/>
      <c r="AW119" s="249"/>
      <c r="AX119" s="250">
        <f t="shared" si="59"/>
        <v>0</v>
      </c>
      <c r="AY119" s="249"/>
      <c r="AZ119" s="249"/>
      <c r="BA119" s="250">
        <f t="shared" si="60"/>
        <v>0</v>
      </c>
      <c r="BB119" s="249"/>
      <c r="BC119" s="249"/>
      <c r="BD119" s="250">
        <f t="shared" si="61"/>
        <v>0</v>
      </c>
    </row>
    <row r="120" spans="1:56" s="255" customFormat="1" ht="21.75" customHeight="1">
      <c r="A120" s="252"/>
      <c r="B120" s="431" t="s">
        <v>315</v>
      </c>
      <c r="C120" s="425">
        <v>804</v>
      </c>
      <c r="D120" s="425">
        <v>974</v>
      </c>
      <c r="E120" s="509">
        <f>IF(C120&gt;0,(((D120-C120)/C120)*100),0)</f>
        <v>21.144278606965177</v>
      </c>
      <c r="F120" s="425">
        <v>1394.8</v>
      </c>
      <c r="G120" s="425">
        <v>1604</v>
      </c>
      <c r="H120" s="438">
        <f t="shared" si="67"/>
        <v>14.998566102667052</v>
      </c>
      <c r="I120" s="425"/>
      <c r="J120" s="425"/>
      <c r="K120" s="438">
        <f t="shared" si="68"/>
        <v>0</v>
      </c>
      <c r="L120" s="425"/>
      <c r="M120" s="425"/>
      <c r="N120" s="421">
        <f t="shared" si="69"/>
        <v>0</v>
      </c>
      <c r="O120" s="425"/>
      <c r="P120" s="425"/>
      <c r="Q120" s="421">
        <f t="shared" si="48"/>
        <v>0</v>
      </c>
      <c r="R120" s="425"/>
      <c r="S120" s="425"/>
      <c r="T120" s="421">
        <f t="shared" si="49"/>
        <v>0</v>
      </c>
      <c r="U120" s="425"/>
      <c r="V120" s="425"/>
      <c r="W120" s="421">
        <f t="shared" si="50"/>
        <v>0</v>
      </c>
      <c r="X120" s="425"/>
      <c r="Y120" s="425"/>
      <c r="Z120" s="421">
        <f t="shared" si="51"/>
        <v>0</v>
      </c>
      <c r="AA120" s="425"/>
      <c r="AB120" s="425"/>
      <c r="AC120" s="421">
        <f t="shared" si="52"/>
        <v>0</v>
      </c>
      <c r="AD120" s="425"/>
      <c r="AE120" s="425"/>
      <c r="AF120" s="421">
        <f t="shared" si="53"/>
        <v>0</v>
      </c>
      <c r="AG120" s="425"/>
      <c r="AH120" s="425"/>
      <c r="AI120" s="421">
        <f t="shared" si="54"/>
        <v>0</v>
      </c>
      <c r="AJ120" s="425"/>
      <c r="AK120" s="425"/>
      <c r="AL120" s="421">
        <f t="shared" si="55"/>
        <v>0</v>
      </c>
      <c r="AM120" s="425"/>
      <c r="AN120" s="425"/>
      <c r="AO120" s="421">
        <f t="shared" si="56"/>
        <v>0</v>
      </c>
      <c r="AP120" s="425"/>
      <c r="AQ120" s="425"/>
      <c r="AR120" s="421">
        <f t="shared" si="57"/>
        <v>0</v>
      </c>
      <c r="AS120" s="425"/>
      <c r="AT120" s="425"/>
      <c r="AU120" s="421">
        <f t="shared" si="58"/>
        <v>0</v>
      </c>
      <c r="AV120" s="425"/>
      <c r="AW120" s="425"/>
      <c r="AX120" s="421">
        <f t="shared" si="59"/>
        <v>0</v>
      </c>
      <c r="AY120" s="425"/>
      <c r="AZ120" s="425"/>
      <c r="BA120" s="421">
        <f t="shared" si="60"/>
        <v>0</v>
      </c>
      <c r="BB120" s="425"/>
      <c r="BC120" s="425"/>
      <c r="BD120" s="421">
        <f t="shared" si="61"/>
        <v>0</v>
      </c>
    </row>
    <row r="121" spans="1:56">
      <c r="A121" s="256"/>
      <c r="B121" s="428" t="s">
        <v>198</v>
      </c>
      <c r="C121" s="257"/>
      <c r="D121" s="257"/>
      <c r="E121" s="510"/>
      <c r="F121" s="257"/>
      <c r="G121" s="257"/>
      <c r="H121" s="439"/>
      <c r="I121" s="257"/>
      <c r="J121" s="257"/>
      <c r="K121" s="439"/>
      <c r="L121" s="257"/>
      <c r="M121" s="257"/>
      <c r="N121" s="258"/>
      <c r="O121" s="257">
        <v>10282.075000000001</v>
      </c>
      <c r="P121" s="257">
        <v>11162.875</v>
      </c>
      <c r="Q121" s="258">
        <f t="shared" si="48"/>
        <v>8.5663642795836363</v>
      </c>
      <c r="R121" s="257">
        <v>17630.075000000001</v>
      </c>
      <c r="S121" s="257">
        <v>19010.875</v>
      </c>
      <c r="T121" s="258">
        <f t="shared" si="49"/>
        <v>7.8320710490454468</v>
      </c>
      <c r="U121" s="257">
        <v>12172</v>
      </c>
      <c r="V121" s="257">
        <v>13030.625</v>
      </c>
      <c r="W121" s="258">
        <f t="shared" si="50"/>
        <v>7.05409957279001</v>
      </c>
      <c r="X121" s="257">
        <v>26320</v>
      </c>
      <c r="Y121" s="257">
        <v>28627.375</v>
      </c>
      <c r="Z121" s="258">
        <f t="shared" si="51"/>
        <v>8.766622340425533</v>
      </c>
      <c r="AA121" s="257">
        <v>10866</v>
      </c>
      <c r="AB121" s="257">
        <v>12000</v>
      </c>
      <c r="AC121" s="258">
        <f t="shared" si="52"/>
        <v>10.436223081170624</v>
      </c>
      <c r="AD121" s="257">
        <v>23260</v>
      </c>
      <c r="AE121" s="257">
        <v>25640</v>
      </c>
      <c r="AF121" s="258">
        <f t="shared" si="53"/>
        <v>10.232158211521925</v>
      </c>
      <c r="AG121" s="257">
        <v>12829.9</v>
      </c>
      <c r="AH121" s="257">
        <v>13667.9</v>
      </c>
      <c r="AI121" s="258">
        <f t="shared" si="54"/>
        <v>6.5316175496301616</v>
      </c>
      <c r="AJ121" s="257">
        <v>23030.7</v>
      </c>
      <c r="AK121" s="257">
        <v>24953.46</v>
      </c>
      <c r="AL121" s="258">
        <f t="shared" si="55"/>
        <v>8.3486824108689621</v>
      </c>
      <c r="AM121" s="257"/>
      <c r="AN121" s="257"/>
      <c r="AO121" s="258">
        <f t="shared" si="56"/>
        <v>0</v>
      </c>
      <c r="AP121" s="257"/>
      <c r="AQ121" s="257"/>
      <c r="AR121" s="258">
        <f t="shared" si="57"/>
        <v>0</v>
      </c>
      <c r="AS121" s="257"/>
      <c r="AT121" s="257"/>
      <c r="AU121" s="258">
        <f t="shared" si="58"/>
        <v>0</v>
      </c>
      <c r="AV121" s="257"/>
      <c r="AW121" s="257"/>
      <c r="AX121" s="258">
        <f t="shared" si="59"/>
        <v>0</v>
      </c>
      <c r="AY121" s="257">
        <v>14641.4</v>
      </c>
      <c r="AZ121" s="257">
        <v>14641.4</v>
      </c>
      <c r="BA121" s="258">
        <f t="shared" si="60"/>
        <v>0</v>
      </c>
      <c r="BB121" s="257">
        <v>38841.4</v>
      </c>
      <c r="BC121" s="257">
        <v>38841.4</v>
      </c>
      <c r="BD121" s="258">
        <f t="shared" si="61"/>
        <v>0</v>
      </c>
    </row>
    <row r="122" spans="1:56">
      <c r="A122" s="247" t="s">
        <v>640</v>
      </c>
      <c r="B122" s="259" t="s">
        <v>384</v>
      </c>
      <c r="C122" s="249">
        <v>8005</v>
      </c>
      <c r="D122" s="249">
        <v>8053</v>
      </c>
      <c r="E122" s="508">
        <f t="shared" ref="E122:E135" si="70">IF(C122&gt;0,(((D122-C122)/C122)*100),0)</f>
        <v>0.59962523422860714</v>
      </c>
      <c r="F122" s="249">
        <v>23076</v>
      </c>
      <c r="G122" s="249">
        <v>23990</v>
      </c>
      <c r="H122" s="437">
        <f t="shared" ref="H122:H137" si="71">IF(F122&gt;0,(((G122-F122)/F122)*100),0)</f>
        <v>3.9608250996706533</v>
      </c>
      <c r="I122" s="249">
        <v>15609</v>
      </c>
      <c r="J122" s="249">
        <v>16824</v>
      </c>
      <c r="K122" s="437">
        <f t="shared" ref="K122:K137" si="72">IF(I122&gt;0,(((J122-I122)/I122)*100),0)</f>
        <v>7.783970786084951</v>
      </c>
      <c r="L122" s="249">
        <v>28026</v>
      </c>
      <c r="M122" s="249">
        <v>29904</v>
      </c>
      <c r="N122" s="250">
        <f t="shared" ref="N122:N137" si="73">IF(L122&gt;0,(((M122-L122)/L122)*100),0)</f>
        <v>6.7009205737529438</v>
      </c>
      <c r="O122" s="249"/>
      <c r="P122" s="249"/>
      <c r="Q122" s="250">
        <f t="shared" si="48"/>
        <v>0</v>
      </c>
      <c r="R122" s="249"/>
      <c r="S122" s="249"/>
      <c r="T122" s="250">
        <f t="shared" si="49"/>
        <v>0</v>
      </c>
      <c r="U122" s="249"/>
      <c r="V122" s="249"/>
      <c r="W122" s="250">
        <f t="shared" si="50"/>
        <v>0</v>
      </c>
      <c r="X122" s="249"/>
      <c r="Y122" s="249"/>
      <c r="Z122" s="250">
        <f t="shared" si="51"/>
        <v>0</v>
      </c>
      <c r="AA122" s="249"/>
      <c r="AB122" s="249"/>
      <c r="AC122" s="250">
        <f t="shared" si="52"/>
        <v>0</v>
      </c>
      <c r="AD122" s="249"/>
      <c r="AE122" s="249"/>
      <c r="AF122" s="250">
        <f t="shared" si="53"/>
        <v>0</v>
      </c>
      <c r="AG122" s="249"/>
      <c r="AH122" s="249"/>
      <c r="AI122" s="250">
        <f t="shared" si="54"/>
        <v>0</v>
      </c>
      <c r="AJ122" s="249"/>
      <c r="AK122" s="249"/>
      <c r="AL122" s="250">
        <f t="shared" si="55"/>
        <v>0</v>
      </c>
      <c r="AM122" s="249"/>
      <c r="AN122" s="249"/>
      <c r="AO122" s="250">
        <f t="shared" si="56"/>
        <v>0</v>
      </c>
      <c r="AP122" s="249"/>
      <c r="AQ122" s="249"/>
      <c r="AR122" s="250">
        <f t="shared" si="57"/>
        <v>0</v>
      </c>
      <c r="AS122" s="249"/>
      <c r="AT122" s="249"/>
      <c r="AU122" s="250">
        <f t="shared" si="58"/>
        <v>0</v>
      </c>
      <c r="AV122" s="249"/>
      <c r="AW122" s="249"/>
      <c r="AX122" s="250">
        <f t="shared" si="59"/>
        <v>0</v>
      </c>
      <c r="AY122" s="249"/>
      <c r="AZ122" s="249"/>
      <c r="BA122" s="250">
        <f t="shared" si="60"/>
        <v>0</v>
      </c>
      <c r="BB122" s="249"/>
      <c r="BC122" s="249"/>
      <c r="BD122" s="250">
        <f t="shared" si="61"/>
        <v>0</v>
      </c>
    </row>
    <row r="123" spans="1:56">
      <c r="A123" s="251"/>
      <c r="B123" s="259" t="s">
        <v>385</v>
      </c>
      <c r="C123" s="249">
        <v>8780</v>
      </c>
      <c r="D123" s="249">
        <v>8872</v>
      </c>
      <c r="E123" s="508">
        <f t="shared" si="70"/>
        <v>1.0478359908883828</v>
      </c>
      <c r="F123" s="249">
        <v>17512</v>
      </c>
      <c r="G123" s="249">
        <v>18213</v>
      </c>
      <c r="H123" s="437">
        <f t="shared" si="71"/>
        <v>4.0029693924166283</v>
      </c>
      <c r="I123" s="249">
        <v>12888</v>
      </c>
      <c r="J123" s="249">
        <v>13392</v>
      </c>
      <c r="K123" s="437">
        <f t="shared" si="72"/>
        <v>3.9106145251396649</v>
      </c>
      <c r="L123" s="249">
        <v>19608</v>
      </c>
      <c r="M123" s="249">
        <v>20376</v>
      </c>
      <c r="N123" s="250">
        <f t="shared" si="73"/>
        <v>3.9167686658506726</v>
      </c>
      <c r="O123" s="249"/>
      <c r="P123" s="249"/>
      <c r="Q123" s="250">
        <f t="shared" si="48"/>
        <v>0</v>
      </c>
      <c r="R123" s="249"/>
      <c r="S123" s="249"/>
      <c r="T123" s="250">
        <f t="shared" si="49"/>
        <v>0</v>
      </c>
      <c r="U123" s="249"/>
      <c r="V123" s="249"/>
      <c r="W123" s="250">
        <f t="shared" si="50"/>
        <v>0</v>
      </c>
      <c r="X123" s="249"/>
      <c r="Y123" s="249"/>
      <c r="Z123" s="250">
        <f t="shared" si="51"/>
        <v>0</v>
      </c>
      <c r="AA123" s="249"/>
      <c r="AB123" s="249"/>
      <c r="AC123" s="250">
        <f t="shared" si="52"/>
        <v>0</v>
      </c>
      <c r="AD123" s="249"/>
      <c r="AE123" s="249"/>
      <c r="AF123" s="250">
        <f t="shared" si="53"/>
        <v>0</v>
      </c>
      <c r="AG123" s="249"/>
      <c r="AH123" s="249"/>
      <c r="AI123" s="250">
        <f t="shared" si="54"/>
        <v>0</v>
      </c>
      <c r="AJ123" s="249"/>
      <c r="AK123" s="249"/>
      <c r="AL123" s="250">
        <f t="shared" si="55"/>
        <v>0</v>
      </c>
      <c r="AM123" s="249"/>
      <c r="AN123" s="249"/>
      <c r="AO123" s="250">
        <f t="shared" si="56"/>
        <v>0</v>
      </c>
      <c r="AP123" s="249"/>
      <c r="AQ123" s="249"/>
      <c r="AR123" s="250">
        <f t="shared" si="57"/>
        <v>0</v>
      </c>
      <c r="AS123" s="249"/>
      <c r="AT123" s="249"/>
      <c r="AU123" s="250">
        <f t="shared" si="58"/>
        <v>0</v>
      </c>
      <c r="AV123" s="249"/>
      <c r="AW123" s="249"/>
      <c r="AX123" s="250">
        <f t="shared" si="59"/>
        <v>0</v>
      </c>
      <c r="AY123" s="249"/>
      <c r="AZ123" s="249"/>
      <c r="BA123" s="250">
        <f t="shared" si="60"/>
        <v>0</v>
      </c>
      <c r="BB123" s="249"/>
      <c r="BC123" s="249"/>
      <c r="BD123" s="250">
        <f t="shared" si="61"/>
        <v>0</v>
      </c>
    </row>
    <row r="124" spans="1:56">
      <c r="A124" s="251"/>
      <c r="B124" s="259" t="s">
        <v>386</v>
      </c>
      <c r="C124" s="249">
        <v>6876</v>
      </c>
      <c r="D124" s="249">
        <v>6983</v>
      </c>
      <c r="E124" s="508">
        <f t="shared" si="70"/>
        <v>1.5561372891215823</v>
      </c>
      <c r="F124" s="249">
        <v>16394</v>
      </c>
      <c r="G124" s="249">
        <v>16825</v>
      </c>
      <c r="H124" s="437">
        <f t="shared" si="71"/>
        <v>2.6290106136391365</v>
      </c>
      <c r="I124" s="249">
        <v>9012</v>
      </c>
      <c r="J124" s="249">
        <v>9360</v>
      </c>
      <c r="K124" s="437">
        <f t="shared" si="72"/>
        <v>3.8615179760319571</v>
      </c>
      <c r="L124" s="249">
        <v>15732</v>
      </c>
      <c r="M124" s="249">
        <v>16584</v>
      </c>
      <c r="N124" s="250">
        <f t="shared" si="73"/>
        <v>5.415713196033562</v>
      </c>
      <c r="O124" s="249"/>
      <c r="P124" s="249"/>
      <c r="Q124" s="250">
        <f t="shared" si="48"/>
        <v>0</v>
      </c>
      <c r="R124" s="249"/>
      <c r="S124" s="249"/>
      <c r="T124" s="250">
        <f t="shared" si="49"/>
        <v>0</v>
      </c>
      <c r="U124" s="249"/>
      <c r="V124" s="249"/>
      <c r="W124" s="250">
        <f t="shared" si="50"/>
        <v>0</v>
      </c>
      <c r="X124" s="249"/>
      <c r="Y124" s="249"/>
      <c r="Z124" s="250">
        <f t="shared" si="51"/>
        <v>0</v>
      </c>
      <c r="AA124" s="249"/>
      <c r="AB124" s="249"/>
      <c r="AC124" s="250">
        <f t="shared" si="52"/>
        <v>0</v>
      </c>
      <c r="AD124" s="249"/>
      <c r="AE124" s="249"/>
      <c r="AF124" s="250">
        <f t="shared" si="53"/>
        <v>0</v>
      </c>
      <c r="AG124" s="249"/>
      <c r="AH124" s="249"/>
      <c r="AI124" s="250">
        <f t="shared" si="54"/>
        <v>0</v>
      </c>
      <c r="AJ124" s="249"/>
      <c r="AK124" s="249"/>
      <c r="AL124" s="250">
        <f t="shared" si="55"/>
        <v>0</v>
      </c>
      <c r="AM124" s="249"/>
      <c r="AN124" s="249"/>
      <c r="AO124" s="250">
        <f t="shared" si="56"/>
        <v>0</v>
      </c>
      <c r="AP124" s="249"/>
      <c r="AQ124" s="249"/>
      <c r="AR124" s="250">
        <f t="shared" si="57"/>
        <v>0</v>
      </c>
      <c r="AS124" s="249"/>
      <c r="AT124" s="249"/>
      <c r="AU124" s="250">
        <f t="shared" si="58"/>
        <v>0</v>
      </c>
      <c r="AV124" s="249"/>
      <c r="AW124" s="249"/>
      <c r="AX124" s="250">
        <f t="shared" si="59"/>
        <v>0</v>
      </c>
      <c r="AY124" s="249"/>
      <c r="AZ124" s="249"/>
      <c r="BA124" s="250">
        <f t="shared" si="60"/>
        <v>0</v>
      </c>
      <c r="BB124" s="249"/>
      <c r="BC124" s="249"/>
      <c r="BD124" s="250">
        <f t="shared" si="61"/>
        <v>0</v>
      </c>
    </row>
    <row r="125" spans="1:56">
      <c r="A125" s="251"/>
      <c r="B125" s="259" t="s">
        <v>387</v>
      </c>
      <c r="C125" s="249">
        <v>6267</v>
      </c>
      <c r="D125" s="249">
        <v>6350</v>
      </c>
      <c r="E125" s="508">
        <f t="shared" si="70"/>
        <v>1.3243976384234881</v>
      </c>
      <c r="F125" s="249">
        <v>15510</v>
      </c>
      <c r="G125" s="249">
        <v>15796.5</v>
      </c>
      <c r="H125" s="437">
        <f t="shared" si="71"/>
        <v>1.8471953578336557</v>
      </c>
      <c r="I125" s="249">
        <v>8968</v>
      </c>
      <c r="J125" s="249">
        <v>9171</v>
      </c>
      <c r="K125" s="437">
        <f t="shared" si="72"/>
        <v>2.2636039250669047</v>
      </c>
      <c r="L125" s="249">
        <v>13958</v>
      </c>
      <c r="M125" s="249">
        <v>14354</v>
      </c>
      <c r="N125" s="250">
        <f t="shared" si="73"/>
        <v>2.837082676601232</v>
      </c>
      <c r="O125" s="249"/>
      <c r="P125" s="249"/>
      <c r="Q125" s="250">
        <f t="shared" si="48"/>
        <v>0</v>
      </c>
      <c r="R125" s="249"/>
      <c r="S125" s="249"/>
      <c r="T125" s="250">
        <f t="shared" si="49"/>
        <v>0</v>
      </c>
      <c r="U125" s="249"/>
      <c r="V125" s="249"/>
      <c r="W125" s="250">
        <f t="shared" si="50"/>
        <v>0</v>
      </c>
      <c r="X125" s="249"/>
      <c r="Y125" s="249"/>
      <c r="Z125" s="250">
        <f t="shared" si="51"/>
        <v>0</v>
      </c>
      <c r="AA125" s="249"/>
      <c r="AB125" s="249"/>
      <c r="AC125" s="250">
        <f t="shared" si="52"/>
        <v>0</v>
      </c>
      <c r="AD125" s="249"/>
      <c r="AE125" s="249"/>
      <c r="AF125" s="250">
        <f t="shared" si="53"/>
        <v>0</v>
      </c>
      <c r="AG125" s="249"/>
      <c r="AH125" s="249"/>
      <c r="AI125" s="250">
        <f t="shared" si="54"/>
        <v>0</v>
      </c>
      <c r="AJ125" s="249"/>
      <c r="AK125" s="249"/>
      <c r="AL125" s="250">
        <f t="shared" si="55"/>
        <v>0</v>
      </c>
      <c r="AM125" s="249"/>
      <c r="AN125" s="249"/>
      <c r="AO125" s="250">
        <f t="shared" si="56"/>
        <v>0</v>
      </c>
      <c r="AP125" s="249"/>
      <c r="AQ125" s="249"/>
      <c r="AR125" s="250">
        <f t="shared" si="57"/>
        <v>0</v>
      </c>
      <c r="AS125" s="249"/>
      <c r="AT125" s="249"/>
      <c r="AU125" s="250">
        <f t="shared" si="58"/>
        <v>0</v>
      </c>
      <c r="AV125" s="249"/>
      <c r="AW125" s="249"/>
      <c r="AX125" s="250">
        <f t="shared" si="59"/>
        <v>0</v>
      </c>
      <c r="AY125" s="249"/>
      <c r="AZ125" s="249"/>
      <c r="BA125" s="250">
        <f t="shared" si="60"/>
        <v>0</v>
      </c>
      <c r="BB125" s="249"/>
      <c r="BC125" s="249"/>
      <c r="BD125" s="250">
        <f t="shared" si="61"/>
        <v>0</v>
      </c>
    </row>
    <row r="126" spans="1:56">
      <c r="A126" s="251"/>
      <c r="B126" s="259" t="s">
        <v>388</v>
      </c>
      <c r="C126" s="249"/>
      <c r="D126" s="249"/>
      <c r="E126" s="508">
        <f t="shared" si="70"/>
        <v>0</v>
      </c>
      <c r="F126" s="249"/>
      <c r="G126" s="249"/>
      <c r="H126" s="437">
        <f t="shared" si="71"/>
        <v>0</v>
      </c>
      <c r="I126" s="249"/>
      <c r="J126" s="249"/>
      <c r="K126" s="437">
        <f t="shared" si="72"/>
        <v>0</v>
      </c>
      <c r="L126" s="249"/>
      <c r="M126" s="249"/>
      <c r="N126" s="250">
        <f t="shared" si="73"/>
        <v>0</v>
      </c>
      <c r="O126" s="249"/>
      <c r="P126" s="249"/>
      <c r="Q126" s="250">
        <f t="shared" si="48"/>
        <v>0</v>
      </c>
      <c r="R126" s="249"/>
      <c r="S126" s="249"/>
      <c r="T126" s="250">
        <f t="shared" si="49"/>
        <v>0</v>
      </c>
      <c r="U126" s="249"/>
      <c r="V126" s="249"/>
      <c r="W126" s="250">
        <f t="shared" si="50"/>
        <v>0</v>
      </c>
      <c r="X126" s="249"/>
      <c r="Y126" s="249"/>
      <c r="Z126" s="250">
        <f t="shared" si="51"/>
        <v>0</v>
      </c>
      <c r="AA126" s="249"/>
      <c r="AB126" s="249"/>
      <c r="AC126" s="250">
        <f t="shared" si="52"/>
        <v>0</v>
      </c>
      <c r="AD126" s="249"/>
      <c r="AE126" s="249"/>
      <c r="AF126" s="250">
        <f t="shared" si="53"/>
        <v>0</v>
      </c>
      <c r="AG126" s="249"/>
      <c r="AH126" s="249"/>
      <c r="AI126" s="250">
        <f t="shared" si="54"/>
        <v>0</v>
      </c>
      <c r="AJ126" s="249"/>
      <c r="AK126" s="249"/>
      <c r="AL126" s="250">
        <f t="shared" si="55"/>
        <v>0</v>
      </c>
      <c r="AM126" s="249"/>
      <c r="AN126" s="249"/>
      <c r="AO126" s="250">
        <f t="shared" si="56"/>
        <v>0</v>
      </c>
      <c r="AP126" s="249"/>
      <c r="AQ126" s="249"/>
      <c r="AR126" s="250">
        <f t="shared" si="57"/>
        <v>0</v>
      </c>
      <c r="AS126" s="249"/>
      <c r="AT126" s="249"/>
      <c r="AU126" s="250">
        <f t="shared" si="58"/>
        <v>0</v>
      </c>
      <c r="AV126" s="249"/>
      <c r="AW126" s="249"/>
      <c r="AX126" s="250">
        <f t="shared" si="59"/>
        <v>0</v>
      </c>
      <c r="AY126" s="249"/>
      <c r="AZ126" s="249"/>
      <c r="BA126" s="250">
        <f t="shared" si="60"/>
        <v>0</v>
      </c>
      <c r="BB126" s="249"/>
      <c r="BC126" s="249"/>
      <c r="BD126" s="250">
        <f t="shared" si="61"/>
        <v>0</v>
      </c>
    </row>
    <row r="127" spans="1:56">
      <c r="A127" s="251"/>
      <c r="B127" s="259" t="s">
        <v>389</v>
      </c>
      <c r="C127" s="249">
        <v>12604</v>
      </c>
      <c r="D127" s="249">
        <v>13234</v>
      </c>
      <c r="E127" s="508">
        <f t="shared" si="70"/>
        <v>4.9984132021580452</v>
      </c>
      <c r="F127" s="249">
        <v>23454</v>
      </c>
      <c r="G127" s="249">
        <v>24627</v>
      </c>
      <c r="H127" s="437">
        <f t="shared" si="71"/>
        <v>5.0012790995139422</v>
      </c>
      <c r="I127" s="249">
        <v>12604</v>
      </c>
      <c r="J127" s="249">
        <v>13234</v>
      </c>
      <c r="K127" s="437">
        <f t="shared" si="72"/>
        <v>4.9984132021580452</v>
      </c>
      <c r="L127" s="249">
        <v>23454</v>
      </c>
      <c r="M127" s="249">
        <v>24627</v>
      </c>
      <c r="N127" s="250">
        <f t="shared" si="73"/>
        <v>5.0012790995139422</v>
      </c>
      <c r="O127" s="249"/>
      <c r="P127" s="249"/>
      <c r="Q127" s="250">
        <f t="shared" si="48"/>
        <v>0</v>
      </c>
      <c r="R127" s="249"/>
      <c r="S127" s="249"/>
      <c r="T127" s="250">
        <f t="shared" si="49"/>
        <v>0</v>
      </c>
      <c r="U127" s="249"/>
      <c r="V127" s="249"/>
      <c r="W127" s="250">
        <f t="shared" si="50"/>
        <v>0</v>
      </c>
      <c r="X127" s="249"/>
      <c r="Y127" s="249"/>
      <c r="Z127" s="250">
        <f t="shared" si="51"/>
        <v>0</v>
      </c>
      <c r="AA127" s="249"/>
      <c r="AB127" s="249"/>
      <c r="AC127" s="250">
        <f t="shared" si="52"/>
        <v>0</v>
      </c>
      <c r="AD127" s="249"/>
      <c r="AE127" s="249"/>
      <c r="AF127" s="250">
        <f t="shared" si="53"/>
        <v>0</v>
      </c>
      <c r="AG127" s="249"/>
      <c r="AH127" s="249"/>
      <c r="AI127" s="250">
        <f t="shared" si="54"/>
        <v>0</v>
      </c>
      <c r="AJ127" s="249"/>
      <c r="AK127" s="249"/>
      <c r="AL127" s="250">
        <f t="shared" si="55"/>
        <v>0</v>
      </c>
      <c r="AM127" s="249"/>
      <c r="AN127" s="249"/>
      <c r="AO127" s="250">
        <f t="shared" si="56"/>
        <v>0</v>
      </c>
      <c r="AP127" s="249"/>
      <c r="AQ127" s="249"/>
      <c r="AR127" s="250">
        <f t="shared" si="57"/>
        <v>0</v>
      </c>
      <c r="AS127" s="249"/>
      <c r="AT127" s="249"/>
      <c r="AU127" s="250">
        <f t="shared" si="58"/>
        <v>0</v>
      </c>
      <c r="AV127" s="249"/>
      <c r="AW127" s="249"/>
      <c r="AX127" s="250">
        <f t="shared" si="59"/>
        <v>0</v>
      </c>
      <c r="AY127" s="249"/>
      <c r="AZ127" s="249"/>
      <c r="BA127" s="250">
        <f t="shared" si="60"/>
        <v>0</v>
      </c>
      <c r="BB127" s="249"/>
      <c r="BC127" s="249"/>
      <c r="BD127" s="250">
        <f t="shared" si="61"/>
        <v>0</v>
      </c>
    </row>
    <row r="128" spans="1:56" s="255" customFormat="1" ht="19.5" customHeight="1">
      <c r="A128" s="252"/>
      <c r="B128" s="431" t="s">
        <v>221</v>
      </c>
      <c r="C128" s="425">
        <v>6614</v>
      </c>
      <c r="D128" s="425">
        <v>6684</v>
      </c>
      <c r="E128" s="509">
        <f t="shared" si="70"/>
        <v>1.0583610523132749</v>
      </c>
      <c r="F128" s="425">
        <v>16810</v>
      </c>
      <c r="G128" s="425">
        <v>16880</v>
      </c>
      <c r="H128" s="438">
        <f t="shared" si="71"/>
        <v>0.41641879833432477</v>
      </c>
      <c r="I128" s="425">
        <v>9412</v>
      </c>
      <c r="J128" s="425">
        <v>9598</v>
      </c>
      <c r="K128" s="438">
        <f t="shared" si="72"/>
        <v>1.9762005949851251</v>
      </c>
      <c r="L128" s="425">
        <v>16612</v>
      </c>
      <c r="M128" s="425">
        <v>16850</v>
      </c>
      <c r="N128" s="421">
        <f t="shared" si="73"/>
        <v>1.4326992535516494</v>
      </c>
      <c r="O128" s="425"/>
      <c r="P128" s="425"/>
      <c r="Q128" s="421">
        <f t="shared" si="48"/>
        <v>0</v>
      </c>
      <c r="R128" s="425"/>
      <c r="S128" s="425"/>
      <c r="T128" s="421">
        <f t="shared" si="49"/>
        <v>0</v>
      </c>
      <c r="U128" s="425"/>
      <c r="V128" s="425"/>
      <c r="W128" s="421">
        <f t="shared" si="50"/>
        <v>0</v>
      </c>
      <c r="X128" s="425"/>
      <c r="Y128" s="425"/>
      <c r="Z128" s="421">
        <f t="shared" si="51"/>
        <v>0</v>
      </c>
      <c r="AA128" s="425"/>
      <c r="AB128" s="425"/>
      <c r="AC128" s="421">
        <f t="shared" si="52"/>
        <v>0</v>
      </c>
      <c r="AD128" s="425"/>
      <c r="AE128" s="425"/>
      <c r="AF128" s="421">
        <f t="shared" si="53"/>
        <v>0</v>
      </c>
      <c r="AG128" s="425"/>
      <c r="AH128" s="425"/>
      <c r="AI128" s="421">
        <f t="shared" si="54"/>
        <v>0</v>
      </c>
      <c r="AJ128" s="425"/>
      <c r="AK128" s="425"/>
      <c r="AL128" s="421">
        <f t="shared" si="55"/>
        <v>0</v>
      </c>
      <c r="AM128" s="425"/>
      <c r="AN128" s="425"/>
      <c r="AO128" s="421">
        <f t="shared" si="56"/>
        <v>0</v>
      </c>
      <c r="AP128" s="425"/>
      <c r="AQ128" s="425"/>
      <c r="AR128" s="421">
        <f t="shared" si="57"/>
        <v>0</v>
      </c>
      <c r="AS128" s="425"/>
      <c r="AT128" s="425"/>
      <c r="AU128" s="421">
        <f t="shared" si="58"/>
        <v>0</v>
      </c>
      <c r="AV128" s="425"/>
      <c r="AW128" s="425"/>
      <c r="AX128" s="421">
        <f t="shared" si="59"/>
        <v>0</v>
      </c>
      <c r="AY128" s="425"/>
      <c r="AZ128" s="425"/>
      <c r="BA128" s="421">
        <f t="shared" si="60"/>
        <v>0</v>
      </c>
      <c r="BB128" s="425"/>
      <c r="BC128" s="425"/>
      <c r="BD128" s="421">
        <f t="shared" si="61"/>
        <v>0</v>
      </c>
    </row>
    <row r="129" spans="1:56">
      <c r="A129" s="251"/>
      <c r="B129" s="259" t="s">
        <v>390</v>
      </c>
      <c r="C129" s="249"/>
      <c r="D129" s="249"/>
      <c r="E129" s="508">
        <f t="shared" si="70"/>
        <v>0</v>
      </c>
      <c r="F129" s="249"/>
      <c r="G129" s="249"/>
      <c r="H129" s="437">
        <f t="shared" si="71"/>
        <v>0</v>
      </c>
      <c r="I129" s="249"/>
      <c r="J129" s="249"/>
      <c r="K129" s="437">
        <f t="shared" si="72"/>
        <v>0</v>
      </c>
      <c r="L129" s="249"/>
      <c r="M129" s="249"/>
      <c r="N129" s="250">
        <f t="shared" si="73"/>
        <v>0</v>
      </c>
      <c r="O129" s="249"/>
      <c r="P129" s="249"/>
      <c r="Q129" s="250">
        <f t="shared" si="48"/>
        <v>0</v>
      </c>
      <c r="R129" s="249"/>
      <c r="S129" s="249"/>
      <c r="T129" s="250">
        <f t="shared" si="49"/>
        <v>0</v>
      </c>
      <c r="U129" s="249"/>
      <c r="V129" s="249"/>
      <c r="W129" s="250">
        <f t="shared" si="50"/>
        <v>0</v>
      </c>
      <c r="X129" s="249"/>
      <c r="Y129" s="249"/>
      <c r="Z129" s="250">
        <f t="shared" si="51"/>
        <v>0</v>
      </c>
      <c r="AA129" s="249"/>
      <c r="AB129" s="249"/>
      <c r="AC129" s="250">
        <f t="shared" si="52"/>
        <v>0</v>
      </c>
      <c r="AD129" s="249"/>
      <c r="AE129" s="249"/>
      <c r="AF129" s="250">
        <f t="shared" si="53"/>
        <v>0</v>
      </c>
      <c r="AG129" s="249"/>
      <c r="AH129" s="249"/>
      <c r="AI129" s="250">
        <f t="shared" si="54"/>
        <v>0</v>
      </c>
      <c r="AJ129" s="249"/>
      <c r="AK129" s="249"/>
      <c r="AL129" s="250">
        <f t="shared" si="55"/>
        <v>0</v>
      </c>
      <c r="AM129" s="249"/>
      <c r="AN129" s="249"/>
      <c r="AO129" s="250">
        <f t="shared" si="56"/>
        <v>0</v>
      </c>
      <c r="AP129" s="249"/>
      <c r="AQ129" s="249"/>
      <c r="AR129" s="250">
        <f t="shared" si="57"/>
        <v>0</v>
      </c>
      <c r="AS129" s="249"/>
      <c r="AT129" s="249"/>
      <c r="AU129" s="250">
        <f t="shared" si="58"/>
        <v>0</v>
      </c>
      <c r="AV129" s="249"/>
      <c r="AW129" s="249"/>
      <c r="AX129" s="250">
        <f t="shared" si="59"/>
        <v>0</v>
      </c>
      <c r="AY129" s="249"/>
      <c r="AZ129" s="249"/>
      <c r="BA129" s="250">
        <f t="shared" si="60"/>
        <v>0</v>
      </c>
      <c r="BB129" s="249"/>
      <c r="BC129" s="249"/>
      <c r="BD129" s="250">
        <f t="shared" si="61"/>
        <v>0</v>
      </c>
    </row>
    <row r="130" spans="1:56">
      <c r="A130" s="251"/>
      <c r="B130" s="259" t="s">
        <v>391</v>
      </c>
      <c r="C130" s="249">
        <v>3492.5</v>
      </c>
      <c r="D130" s="249">
        <v>3451.5</v>
      </c>
      <c r="E130" s="512">
        <f t="shared" si="70"/>
        <v>-1.1739441660701504</v>
      </c>
      <c r="F130" s="249">
        <v>8442.5</v>
      </c>
      <c r="G130" s="249">
        <v>8936</v>
      </c>
      <c r="H130" s="437">
        <f t="shared" si="71"/>
        <v>5.8454249333728159</v>
      </c>
      <c r="I130" s="249"/>
      <c r="J130" s="249"/>
      <c r="K130" s="437">
        <f t="shared" si="72"/>
        <v>0</v>
      </c>
      <c r="L130" s="249"/>
      <c r="M130" s="249"/>
      <c r="N130" s="250">
        <f t="shared" si="73"/>
        <v>0</v>
      </c>
      <c r="O130" s="249"/>
      <c r="P130" s="249"/>
      <c r="Q130" s="250">
        <f t="shared" si="48"/>
        <v>0</v>
      </c>
      <c r="R130" s="249"/>
      <c r="S130" s="249"/>
      <c r="T130" s="250">
        <f t="shared" si="49"/>
        <v>0</v>
      </c>
      <c r="U130" s="249"/>
      <c r="V130" s="249"/>
      <c r="W130" s="250">
        <f t="shared" si="50"/>
        <v>0</v>
      </c>
      <c r="X130" s="249"/>
      <c r="Y130" s="249"/>
      <c r="Z130" s="250">
        <f t="shared" si="51"/>
        <v>0</v>
      </c>
      <c r="AA130" s="249"/>
      <c r="AB130" s="249"/>
      <c r="AC130" s="250">
        <f t="shared" si="52"/>
        <v>0</v>
      </c>
      <c r="AD130" s="249"/>
      <c r="AE130" s="249"/>
      <c r="AF130" s="250">
        <f t="shared" si="53"/>
        <v>0</v>
      </c>
      <c r="AG130" s="249"/>
      <c r="AH130" s="249"/>
      <c r="AI130" s="250">
        <f t="shared" si="54"/>
        <v>0</v>
      </c>
      <c r="AJ130" s="249"/>
      <c r="AK130" s="249"/>
      <c r="AL130" s="250">
        <f t="shared" si="55"/>
        <v>0</v>
      </c>
      <c r="AM130" s="249"/>
      <c r="AN130" s="249"/>
      <c r="AO130" s="250">
        <f t="shared" si="56"/>
        <v>0</v>
      </c>
      <c r="AP130" s="249"/>
      <c r="AQ130" s="249"/>
      <c r="AR130" s="250">
        <f t="shared" si="57"/>
        <v>0</v>
      </c>
      <c r="AS130" s="249"/>
      <c r="AT130" s="249"/>
      <c r="AU130" s="250">
        <f t="shared" si="58"/>
        <v>0</v>
      </c>
      <c r="AV130" s="249"/>
      <c r="AW130" s="249"/>
      <c r="AX130" s="250">
        <f t="shared" si="59"/>
        <v>0</v>
      </c>
      <c r="AY130" s="249"/>
      <c r="AZ130" s="249"/>
      <c r="BA130" s="250">
        <f t="shared" si="60"/>
        <v>0</v>
      </c>
      <c r="BB130" s="249"/>
      <c r="BC130" s="249"/>
      <c r="BD130" s="250">
        <f t="shared" si="61"/>
        <v>0</v>
      </c>
    </row>
    <row r="131" spans="1:56">
      <c r="A131" s="251"/>
      <c r="B131" s="259" t="s">
        <v>392</v>
      </c>
      <c r="C131" s="249">
        <v>3164</v>
      </c>
      <c r="D131" s="249">
        <v>3220</v>
      </c>
      <c r="E131" s="508">
        <f t="shared" si="70"/>
        <v>1.7699115044247788</v>
      </c>
      <c r="F131" s="249">
        <v>7170</v>
      </c>
      <c r="G131" s="249">
        <v>7207</v>
      </c>
      <c r="H131" s="437">
        <f t="shared" si="71"/>
        <v>0.51603905160390517</v>
      </c>
      <c r="I131" s="249"/>
      <c r="J131" s="249"/>
      <c r="K131" s="437">
        <f t="shared" si="72"/>
        <v>0</v>
      </c>
      <c r="L131" s="249"/>
      <c r="M131" s="249"/>
      <c r="N131" s="250">
        <f t="shared" si="73"/>
        <v>0</v>
      </c>
      <c r="O131" s="249"/>
      <c r="P131" s="249"/>
      <c r="Q131" s="250">
        <f t="shared" si="48"/>
        <v>0</v>
      </c>
      <c r="R131" s="249"/>
      <c r="S131" s="249"/>
      <c r="T131" s="250">
        <f t="shared" si="49"/>
        <v>0</v>
      </c>
      <c r="U131" s="249"/>
      <c r="V131" s="249"/>
      <c r="W131" s="250">
        <f t="shared" si="50"/>
        <v>0</v>
      </c>
      <c r="X131" s="249"/>
      <c r="Y131" s="249"/>
      <c r="Z131" s="250">
        <f t="shared" si="51"/>
        <v>0</v>
      </c>
      <c r="AA131" s="249"/>
      <c r="AB131" s="249"/>
      <c r="AC131" s="250">
        <f t="shared" si="52"/>
        <v>0</v>
      </c>
      <c r="AD131" s="249"/>
      <c r="AE131" s="249"/>
      <c r="AF131" s="250">
        <f t="shared" si="53"/>
        <v>0</v>
      </c>
      <c r="AG131" s="249"/>
      <c r="AH131" s="249"/>
      <c r="AI131" s="250">
        <f t="shared" si="54"/>
        <v>0</v>
      </c>
      <c r="AJ131" s="249"/>
      <c r="AK131" s="249"/>
      <c r="AL131" s="250">
        <f t="shared" si="55"/>
        <v>0</v>
      </c>
      <c r="AM131" s="249"/>
      <c r="AN131" s="249"/>
      <c r="AO131" s="250">
        <f t="shared" si="56"/>
        <v>0</v>
      </c>
      <c r="AP131" s="249"/>
      <c r="AQ131" s="249"/>
      <c r="AR131" s="250">
        <f t="shared" si="57"/>
        <v>0</v>
      </c>
      <c r="AS131" s="249"/>
      <c r="AT131" s="249"/>
      <c r="AU131" s="250">
        <f t="shared" si="58"/>
        <v>0</v>
      </c>
      <c r="AV131" s="249"/>
      <c r="AW131" s="249"/>
      <c r="AX131" s="250">
        <f t="shared" si="59"/>
        <v>0</v>
      </c>
      <c r="AY131" s="249"/>
      <c r="AZ131" s="249"/>
      <c r="BA131" s="250">
        <f t="shared" si="60"/>
        <v>0</v>
      </c>
      <c r="BB131" s="249"/>
      <c r="BC131" s="249"/>
      <c r="BD131" s="250">
        <f t="shared" si="61"/>
        <v>0</v>
      </c>
    </row>
    <row r="132" spans="1:56">
      <c r="A132" s="251"/>
      <c r="B132" s="259" t="s">
        <v>196</v>
      </c>
      <c r="C132" s="249">
        <v>2970</v>
      </c>
      <c r="D132" s="249">
        <v>3210</v>
      </c>
      <c r="E132" s="508">
        <f t="shared" si="70"/>
        <v>8.0808080808080813</v>
      </c>
      <c r="F132" s="249">
        <v>7034</v>
      </c>
      <c r="G132" s="249">
        <v>7364</v>
      </c>
      <c r="H132" s="437">
        <f t="shared" si="71"/>
        <v>4.6914984361671879</v>
      </c>
      <c r="I132" s="249"/>
      <c r="J132" s="249"/>
      <c r="K132" s="437">
        <f t="shared" si="72"/>
        <v>0</v>
      </c>
      <c r="L132" s="249"/>
      <c r="M132" s="249"/>
      <c r="N132" s="250">
        <f t="shared" si="73"/>
        <v>0</v>
      </c>
      <c r="O132" s="249"/>
      <c r="P132" s="249"/>
      <c r="Q132" s="250">
        <f t="shared" si="48"/>
        <v>0</v>
      </c>
      <c r="R132" s="249"/>
      <c r="S132" s="249"/>
      <c r="T132" s="250">
        <f t="shared" si="49"/>
        <v>0</v>
      </c>
      <c r="U132" s="249"/>
      <c r="V132" s="249"/>
      <c r="W132" s="250">
        <f t="shared" si="50"/>
        <v>0</v>
      </c>
      <c r="X132" s="249"/>
      <c r="Y132" s="249"/>
      <c r="Z132" s="250">
        <f t="shared" si="51"/>
        <v>0</v>
      </c>
      <c r="AA132" s="249"/>
      <c r="AB132" s="249"/>
      <c r="AC132" s="250">
        <f t="shared" si="52"/>
        <v>0</v>
      </c>
      <c r="AD132" s="249"/>
      <c r="AE132" s="249"/>
      <c r="AF132" s="250">
        <f t="shared" si="53"/>
        <v>0</v>
      </c>
      <c r="AG132" s="249"/>
      <c r="AH132" s="249"/>
      <c r="AI132" s="250">
        <f t="shared" si="54"/>
        <v>0</v>
      </c>
      <c r="AJ132" s="249"/>
      <c r="AK132" s="249"/>
      <c r="AL132" s="250">
        <f t="shared" si="55"/>
        <v>0</v>
      </c>
      <c r="AM132" s="249"/>
      <c r="AN132" s="249"/>
      <c r="AO132" s="250">
        <f t="shared" si="56"/>
        <v>0</v>
      </c>
      <c r="AP132" s="249"/>
      <c r="AQ132" s="249"/>
      <c r="AR132" s="250">
        <f t="shared" si="57"/>
        <v>0</v>
      </c>
      <c r="AS132" s="249"/>
      <c r="AT132" s="249"/>
      <c r="AU132" s="250">
        <f t="shared" si="58"/>
        <v>0</v>
      </c>
      <c r="AV132" s="249"/>
      <c r="AW132" s="249"/>
      <c r="AX132" s="250">
        <f t="shared" si="59"/>
        <v>0</v>
      </c>
      <c r="AY132" s="249"/>
      <c r="AZ132" s="249"/>
      <c r="BA132" s="250">
        <f t="shared" si="60"/>
        <v>0</v>
      </c>
      <c r="BB132" s="249"/>
      <c r="BC132" s="249"/>
      <c r="BD132" s="250">
        <f t="shared" si="61"/>
        <v>0</v>
      </c>
    </row>
    <row r="133" spans="1:56" s="255" customFormat="1" ht="20.25" customHeight="1">
      <c r="A133" s="252"/>
      <c r="B133" s="431" t="s">
        <v>550</v>
      </c>
      <c r="C133" s="425">
        <v>3122</v>
      </c>
      <c r="D133" s="425">
        <v>3215</v>
      </c>
      <c r="E133" s="509">
        <f t="shared" si="70"/>
        <v>2.9788597053171042</v>
      </c>
      <c r="F133" s="425">
        <v>7380</v>
      </c>
      <c r="G133" s="425">
        <v>7758.5</v>
      </c>
      <c r="H133" s="438">
        <f t="shared" si="71"/>
        <v>5.1287262872628725</v>
      </c>
      <c r="I133" s="425"/>
      <c r="J133" s="425"/>
      <c r="K133" s="438">
        <f t="shared" si="72"/>
        <v>0</v>
      </c>
      <c r="L133" s="425"/>
      <c r="M133" s="425"/>
      <c r="N133" s="421">
        <f t="shared" si="73"/>
        <v>0</v>
      </c>
      <c r="O133" s="425"/>
      <c r="P133" s="425"/>
      <c r="Q133" s="421">
        <f t="shared" si="48"/>
        <v>0</v>
      </c>
      <c r="R133" s="425"/>
      <c r="S133" s="425"/>
      <c r="T133" s="421">
        <f t="shared" si="49"/>
        <v>0</v>
      </c>
      <c r="U133" s="425"/>
      <c r="V133" s="425"/>
      <c r="W133" s="421">
        <f t="shared" si="50"/>
        <v>0</v>
      </c>
      <c r="X133" s="425"/>
      <c r="Y133" s="425"/>
      <c r="Z133" s="421">
        <f t="shared" si="51"/>
        <v>0</v>
      </c>
      <c r="AA133" s="425"/>
      <c r="AB133" s="425"/>
      <c r="AC133" s="421">
        <f t="shared" si="52"/>
        <v>0</v>
      </c>
      <c r="AD133" s="425"/>
      <c r="AE133" s="425"/>
      <c r="AF133" s="421">
        <f t="shared" si="53"/>
        <v>0</v>
      </c>
      <c r="AG133" s="425"/>
      <c r="AH133" s="425"/>
      <c r="AI133" s="421">
        <f t="shared" si="54"/>
        <v>0</v>
      </c>
      <c r="AJ133" s="425"/>
      <c r="AK133" s="425"/>
      <c r="AL133" s="421">
        <f t="shared" si="55"/>
        <v>0</v>
      </c>
      <c r="AM133" s="425"/>
      <c r="AN133" s="425"/>
      <c r="AO133" s="421">
        <f t="shared" si="56"/>
        <v>0</v>
      </c>
      <c r="AP133" s="425"/>
      <c r="AQ133" s="425"/>
      <c r="AR133" s="421">
        <f t="shared" si="57"/>
        <v>0</v>
      </c>
      <c r="AS133" s="425"/>
      <c r="AT133" s="425"/>
      <c r="AU133" s="421">
        <f t="shared" si="58"/>
        <v>0</v>
      </c>
      <c r="AV133" s="425"/>
      <c r="AW133" s="425"/>
      <c r="AX133" s="421">
        <f t="shared" si="59"/>
        <v>0</v>
      </c>
      <c r="AY133" s="425"/>
      <c r="AZ133" s="425"/>
      <c r="BA133" s="421">
        <f t="shared" si="60"/>
        <v>0</v>
      </c>
      <c r="BB133" s="425"/>
      <c r="BC133" s="425"/>
      <c r="BD133" s="421">
        <f t="shared" si="61"/>
        <v>0</v>
      </c>
    </row>
    <row r="134" spans="1:56">
      <c r="A134" s="251"/>
      <c r="B134" s="259" t="s">
        <v>197</v>
      </c>
      <c r="C134" s="249"/>
      <c r="D134" s="249"/>
      <c r="E134" s="508">
        <f t="shared" si="70"/>
        <v>0</v>
      </c>
      <c r="F134" s="249"/>
      <c r="G134" s="249"/>
      <c r="H134" s="437">
        <f t="shared" si="71"/>
        <v>0</v>
      </c>
      <c r="I134" s="249"/>
      <c r="J134" s="249"/>
      <c r="K134" s="437">
        <f t="shared" si="72"/>
        <v>0</v>
      </c>
      <c r="L134" s="249"/>
      <c r="M134" s="249"/>
      <c r="N134" s="250">
        <f t="shared" si="73"/>
        <v>0</v>
      </c>
      <c r="O134" s="249"/>
      <c r="P134" s="249"/>
      <c r="Q134" s="250">
        <f t="shared" si="48"/>
        <v>0</v>
      </c>
      <c r="R134" s="249"/>
      <c r="S134" s="249"/>
      <c r="T134" s="250">
        <f t="shared" si="49"/>
        <v>0</v>
      </c>
      <c r="U134" s="249"/>
      <c r="V134" s="249"/>
      <c r="W134" s="250">
        <f t="shared" si="50"/>
        <v>0</v>
      </c>
      <c r="X134" s="249"/>
      <c r="Y134" s="249"/>
      <c r="Z134" s="250">
        <f t="shared" si="51"/>
        <v>0</v>
      </c>
      <c r="AA134" s="249"/>
      <c r="AB134" s="249"/>
      <c r="AC134" s="250">
        <f t="shared" si="52"/>
        <v>0</v>
      </c>
      <c r="AD134" s="249"/>
      <c r="AE134" s="249"/>
      <c r="AF134" s="250">
        <f t="shared" si="53"/>
        <v>0</v>
      </c>
      <c r="AG134" s="249"/>
      <c r="AH134" s="249"/>
      <c r="AI134" s="250">
        <f t="shared" si="54"/>
        <v>0</v>
      </c>
      <c r="AJ134" s="249"/>
      <c r="AK134" s="249"/>
      <c r="AL134" s="250">
        <f t="shared" si="55"/>
        <v>0</v>
      </c>
      <c r="AM134" s="249"/>
      <c r="AN134" s="249"/>
      <c r="AO134" s="250">
        <f t="shared" si="56"/>
        <v>0</v>
      </c>
      <c r="AP134" s="249"/>
      <c r="AQ134" s="249"/>
      <c r="AR134" s="250">
        <f t="shared" si="57"/>
        <v>0</v>
      </c>
      <c r="AS134" s="249"/>
      <c r="AT134" s="249"/>
      <c r="AU134" s="250">
        <f t="shared" si="58"/>
        <v>0</v>
      </c>
      <c r="AV134" s="249"/>
      <c r="AW134" s="249"/>
      <c r="AX134" s="250">
        <f t="shared" si="59"/>
        <v>0</v>
      </c>
      <c r="AY134" s="249"/>
      <c r="AZ134" s="249"/>
      <c r="BA134" s="250">
        <f t="shared" si="60"/>
        <v>0</v>
      </c>
      <c r="BB134" s="249"/>
      <c r="BC134" s="249"/>
      <c r="BD134" s="250">
        <f t="shared" si="61"/>
        <v>0</v>
      </c>
    </row>
    <row r="135" spans="1:56">
      <c r="A135" s="251"/>
      <c r="B135" s="259" t="s">
        <v>326</v>
      </c>
      <c r="C135" s="249"/>
      <c r="D135" s="249"/>
      <c r="E135" s="508">
        <f t="shared" si="70"/>
        <v>0</v>
      </c>
      <c r="F135" s="249"/>
      <c r="G135" s="249"/>
      <c r="H135" s="437">
        <f t="shared" si="71"/>
        <v>0</v>
      </c>
      <c r="I135" s="249"/>
      <c r="J135" s="249"/>
      <c r="K135" s="437">
        <f t="shared" si="72"/>
        <v>0</v>
      </c>
      <c r="L135" s="249"/>
      <c r="M135" s="249"/>
      <c r="N135" s="250">
        <f t="shared" si="73"/>
        <v>0</v>
      </c>
      <c r="O135" s="249"/>
      <c r="P135" s="249"/>
      <c r="Q135" s="250">
        <f t="shared" si="48"/>
        <v>0</v>
      </c>
      <c r="R135" s="249"/>
      <c r="S135" s="249"/>
      <c r="T135" s="250">
        <f t="shared" si="49"/>
        <v>0</v>
      </c>
      <c r="U135" s="249"/>
      <c r="V135" s="249"/>
      <c r="W135" s="250">
        <f t="shared" si="50"/>
        <v>0</v>
      </c>
      <c r="X135" s="249"/>
      <c r="Y135" s="249"/>
      <c r="Z135" s="250">
        <f t="shared" si="51"/>
        <v>0</v>
      </c>
      <c r="AA135" s="249"/>
      <c r="AB135" s="249"/>
      <c r="AC135" s="250">
        <f t="shared" si="52"/>
        <v>0</v>
      </c>
      <c r="AD135" s="249"/>
      <c r="AE135" s="249"/>
      <c r="AF135" s="250">
        <f t="shared" si="53"/>
        <v>0</v>
      </c>
      <c r="AG135" s="249"/>
      <c r="AH135" s="249"/>
      <c r="AI135" s="250">
        <f t="shared" si="54"/>
        <v>0</v>
      </c>
      <c r="AJ135" s="249"/>
      <c r="AK135" s="249"/>
      <c r="AL135" s="250">
        <f t="shared" si="55"/>
        <v>0</v>
      </c>
      <c r="AM135" s="249"/>
      <c r="AN135" s="249"/>
      <c r="AO135" s="250">
        <f t="shared" si="56"/>
        <v>0</v>
      </c>
      <c r="AP135" s="249"/>
      <c r="AQ135" s="249"/>
      <c r="AR135" s="250">
        <f t="shared" si="57"/>
        <v>0</v>
      </c>
      <c r="AS135" s="249"/>
      <c r="AT135" s="249"/>
      <c r="AU135" s="250">
        <f t="shared" si="58"/>
        <v>0</v>
      </c>
      <c r="AV135" s="249"/>
      <c r="AW135" s="249"/>
      <c r="AX135" s="250">
        <f t="shared" si="59"/>
        <v>0</v>
      </c>
      <c r="AY135" s="249"/>
      <c r="AZ135" s="249"/>
      <c r="BA135" s="250">
        <f t="shared" si="60"/>
        <v>0</v>
      </c>
      <c r="BB135" s="249"/>
      <c r="BC135" s="249"/>
      <c r="BD135" s="250">
        <f t="shared" si="61"/>
        <v>0</v>
      </c>
    </row>
    <row r="136" spans="1:56">
      <c r="A136" s="251"/>
      <c r="B136" s="259" t="s">
        <v>327</v>
      </c>
      <c r="C136" s="249"/>
      <c r="D136" s="249"/>
      <c r="E136" s="508"/>
      <c r="F136" s="249"/>
      <c r="G136" s="249"/>
      <c r="H136" s="437">
        <f t="shared" si="71"/>
        <v>0</v>
      </c>
      <c r="I136" s="249"/>
      <c r="J136" s="249"/>
      <c r="K136" s="437">
        <f t="shared" si="72"/>
        <v>0</v>
      </c>
      <c r="L136" s="249"/>
      <c r="M136" s="249"/>
      <c r="N136" s="250">
        <f t="shared" si="73"/>
        <v>0</v>
      </c>
      <c r="O136" s="249"/>
      <c r="P136" s="249"/>
      <c r="Q136" s="250">
        <f t="shared" si="48"/>
        <v>0</v>
      </c>
      <c r="R136" s="249"/>
      <c r="S136" s="249"/>
      <c r="T136" s="250">
        <f t="shared" si="49"/>
        <v>0</v>
      </c>
      <c r="U136" s="249"/>
      <c r="V136" s="249"/>
      <c r="W136" s="250">
        <f t="shared" si="50"/>
        <v>0</v>
      </c>
      <c r="X136" s="249"/>
      <c r="Y136" s="249"/>
      <c r="Z136" s="250">
        <f t="shared" si="51"/>
        <v>0</v>
      </c>
      <c r="AA136" s="249"/>
      <c r="AB136" s="249"/>
      <c r="AC136" s="250">
        <f t="shared" si="52"/>
        <v>0</v>
      </c>
      <c r="AD136" s="249"/>
      <c r="AE136" s="249"/>
      <c r="AF136" s="250">
        <f t="shared" si="53"/>
        <v>0</v>
      </c>
      <c r="AG136" s="249"/>
      <c r="AH136" s="249"/>
      <c r="AI136" s="250">
        <f t="shared" si="54"/>
        <v>0</v>
      </c>
      <c r="AJ136" s="249"/>
      <c r="AK136" s="249"/>
      <c r="AL136" s="250">
        <f t="shared" si="55"/>
        <v>0</v>
      </c>
      <c r="AM136" s="249"/>
      <c r="AN136" s="249"/>
      <c r="AO136" s="250">
        <f t="shared" si="56"/>
        <v>0</v>
      </c>
      <c r="AP136" s="249"/>
      <c r="AQ136" s="249"/>
      <c r="AR136" s="250">
        <f t="shared" si="57"/>
        <v>0</v>
      </c>
      <c r="AS136" s="249"/>
      <c r="AT136" s="249"/>
      <c r="AU136" s="250">
        <f t="shared" si="58"/>
        <v>0</v>
      </c>
      <c r="AV136" s="249"/>
      <c r="AW136" s="249"/>
      <c r="AX136" s="250">
        <f t="shared" si="59"/>
        <v>0</v>
      </c>
      <c r="AY136" s="249"/>
      <c r="AZ136" s="249"/>
      <c r="BA136" s="250">
        <f t="shared" si="60"/>
        <v>0</v>
      </c>
      <c r="BB136" s="249"/>
      <c r="BC136" s="249"/>
      <c r="BD136" s="250">
        <f t="shared" si="61"/>
        <v>0</v>
      </c>
    </row>
    <row r="137" spans="1:56" s="255" customFormat="1" ht="21.75" customHeight="1">
      <c r="A137" s="252"/>
      <c r="B137" s="427" t="s">
        <v>315</v>
      </c>
      <c r="C137" s="253"/>
      <c r="D137" s="253"/>
      <c r="E137" s="511">
        <f>IF(C137&gt;0,(((D137-C137)/C137)*100),0)</f>
        <v>0</v>
      </c>
      <c r="F137" s="253"/>
      <c r="G137" s="253"/>
      <c r="H137" s="440">
        <f t="shared" si="71"/>
        <v>0</v>
      </c>
      <c r="I137" s="253"/>
      <c r="J137" s="253"/>
      <c r="K137" s="440">
        <f t="shared" si="72"/>
        <v>0</v>
      </c>
      <c r="L137" s="253"/>
      <c r="M137" s="253"/>
      <c r="N137" s="254">
        <f t="shared" si="73"/>
        <v>0</v>
      </c>
      <c r="O137" s="253"/>
      <c r="P137" s="253"/>
      <c r="Q137" s="254">
        <f t="shared" si="48"/>
        <v>0</v>
      </c>
      <c r="R137" s="253"/>
      <c r="S137" s="253"/>
      <c r="T137" s="254">
        <f t="shared" si="49"/>
        <v>0</v>
      </c>
      <c r="U137" s="253"/>
      <c r="V137" s="253"/>
      <c r="W137" s="254">
        <f t="shared" si="50"/>
        <v>0</v>
      </c>
      <c r="X137" s="253"/>
      <c r="Y137" s="253"/>
      <c r="Z137" s="254">
        <f t="shared" si="51"/>
        <v>0</v>
      </c>
      <c r="AA137" s="253"/>
      <c r="AB137" s="253"/>
      <c r="AC137" s="254">
        <f t="shared" si="52"/>
        <v>0</v>
      </c>
      <c r="AD137" s="253"/>
      <c r="AE137" s="253"/>
      <c r="AF137" s="254">
        <f t="shared" si="53"/>
        <v>0</v>
      </c>
      <c r="AG137" s="253"/>
      <c r="AH137" s="253"/>
      <c r="AI137" s="254">
        <f t="shared" si="54"/>
        <v>0</v>
      </c>
      <c r="AJ137" s="253"/>
      <c r="AK137" s="253"/>
      <c r="AL137" s="254">
        <f t="shared" si="55"/>
        <v>0</v>
      </c>
      <c r="AM137" s="253"/>
      <c r="AN137" s="253"/>
      <c r="AO137" s="254">
        <f t="shared" si="56"/>
        <v>0</v>
      </c>
      <c r="AP137" s="253"/>
      <c r="AQ137" s="253"/>
      <c r="AR137" s="254">
        <f t="shared" si="57"/>
        <v>0</v>
      </c>
      <c r="AS137" s="253"/>
      <c r="AT137" s="253"/>
      <c r="AU137" s="254">
        <f t="shared" si="58"/>
        <v>0</v>
      </c>
      <c r="AV137" s="253"/>
      <c r="AW137" s="253"/>
      <c r="AX137" s="254">
        <f t="shared" si="59"/>
        <v>0</v>
      </c>
      <c r="AY137" s="253"/>
      <c r="AZ137" s="253"/>
      <c r="BA137" s="254">
        <f t="shared" si="60"/>
        <v>0</v>
      </c>
      <c r="BB137" s="253"/>
      <c r="BC137" s="253"/>
      <c r="BD137" s="254">
        <f t="shared" si="61"/>
        <v>0</v>
      </c>
    </row>
    <row r="138" spans="1:56">
      <c r="A138" s="256"/>
      <c r="B138" s="428" t="s">
        <v>198</v>
      </c>
      <c r="C138" s="257"/>
      <c r="D138" s="257"/>
      <c r="E138" s="510"/>
      <c r="F138" s="257"/>
      <c r="G138" s="257"/>
      <c r="H138" s="439"/>
      <c r="I138" s="257"/>
      <c r="J138" s="257"/>
      <c r="K138" s="439"/>
      <c r="L138" s="257"/>
      <c r="M138" s="257"/>
      <c r="N138" s="258"/>
      <c r="O138" s="257">
        <v>22185.5</v>
      </c>
      <c r="P138" s="257">
        <v>23877</v>
      </c>
      <c r="Q138" s="258">
        <f t="shared" si="48"/>
        <v>7.6243492371143322</v>
      </c>
      <c r="R138" s="257">
        <v>34098</v>
      </c>
      <c r="S138" s="257">
        <v>35514.5</v>
      </c>
      <c r="T138" s="258">
        <f t="shared" si="49"/>
        <v>4.1542025925274206</v>
      </c>
      <c r="U138" s="257">
        <v>23509</v>
      </c>
      <c r="V138" s="257">
        <v>24989</v>
      </c>
      <c r="W138" s="258">
        <f t="shared" si="50"/>
        <v>6.295461312688758</v>
      </c>
      <c r="X138" s="257">
        <v>42419</v>
      </c>
      <c r="Y138" s="257">
        <v>45033</v>
      </c>
      <c r="Z138" s="258">
        <f t="shared" si="51"/>
        <v>6.1623329168532965</v>
      </c>
      <c r="AA138" s="257">
        <v>20936</v>
      </c>
      <c r="AB138" s="257">
        <v>22437</v>
      </c>
      <c r="AC138" s="258">
        <f t="shared" si="52"/>
        <v>7.1694688574703864</v>
      </c>
      <c r="AD138" s="257">
        <v>44321</v>
      </c>
      <c r="AE138" s="257">
        <v>48193</v>
      </c>
      <c r="AF138" s="258">
        <f t="shared" si="53"/>
        <v>8.7362649759707587</v>
      </c>
      <c r="AG138" s="257">
        <v>15376</v>
      </c>
      <c r="AH138" s="257">
        <v>16634</v>
      </c>
      <c r="AI138" s="258">
        <f t="shared" si="54"/>
        <v>8.1815816857440158</v>
      </c>
      <c r="AJ138" s="257">
        <v>29512</v>
      </c>
      <c r="AK138" s="257">
        <v>31340</v>
      </c>
      <c r="AL138" s="258">
        <f t="shared" si="55"/>
        <v>6.1940905394415831</v>
      </c>
      <c r="AM138" s="257"/>
      <c r="AN138" s="257"/>
      <c r="AO138" s="258">
        <f t="shared" si="56"/>
        <v>0</v>
      </c>
      <c r="AP138" s="257"/>
      <c r="AQ138" s="257"/>
      <c r="AR138" s="258">
        <f t="shared" si="57"/>
        <v>0</v>
      </c>
      <c r="AS138" s="257"/>
      <c r="AT138" s="257"/>
      <c r="AU138" s="258">
        <f t="shared" si="58"/>
        <v>0</v>
      </c>
      <c r="AV138" s="257"/>
      <c r="AW138" s="257"/>
      <c r="AX138" s="258">
        <f t="shared" si="59"/>
        <v>0</v>
      </c>
      <c r="AY138" s="257"/>
      <c r="AZ138" s="257"/>
      <c r="BA138" s="258">
        <f t="shared" si="60"/>
        <v>0</v>
      </c>
      <c r="BB138" s="257"/>
      <c r="BC138" s="257"/>
      <c r="BD138" s="258">
        <f t="shared" si="61"/>
        <v>0</v>
      </c>
    </row>
    <row r="139" spans="1:56">
      <c r="A139" s="247" t="s">
        <v>641</v>
      </c>
      <c r="B139" s="259" t="s">
        <v>384</v>
      </c>
      <c r="C139" s="249">
        <v>5123.5</v>
      </c>
      <c r="D139" s="249">
        <v>5123.5</v>
      </c>
      <c r="E139" s="508">
        <f t="shared" ref="E139:E152" si="74">IF(C139&gt;0,(((D139-C139)/C139)*100),0)</f>
        <v>0</v>
      </c>
      <c r="F139" s="249">
        <v>12623</v>
      </c>
      <c r="G139" s="249">
        <v>13034.98</v>
      </c>
      <c r="H139" s="437">
        <f t="shared" ref="H139:H154" si="75">IF(F139&gt;0,(((G139-F139)/F139)*100),0)</f>
        <v>3.2637249465261786</v>
      </c>
      <c r="I139" s="249">
        <v>5123.5</v>
      </c>
      <c r="J139" s="249">
        <v>5123.5</v>
      </c>
      <c r="K139" s="437">
        <f t="shared" ref="K139:K154" si="76">IF(I139&gt;0,(((J139-I139)/I139)*100),0)</f>
        <v>0</v>
      </c>
      <c r="L139" s="249">
        <v>12623</v>
      </c>
      <c r="M139" s="249">
        <v>13034.98</v>
      </c>
      <c r="N139" s="250">
        <f t="shared" ref="N139:N154" si="77">IF(L139&gt;0,(((M139-L139)/L139)*100),0)</f>
        <v>3.2637249465261786</v>
      </c>
      <c r="O139" s="249"/>
      <c r="P139" s="249"/>
      <c r="Q139" s="250">
        <f t="shared" si="48"/>
        <v>0</v>
      </c>
      <c r="R139" s="249"/>
      <c r="S139" s="249"/>
      <c r="T139" s="250">
        <f t="shared" si="49"/>
        <v>0</v>
      </c>
      <c r="U139" s="249"/>
      <c r="V139" s="249"/>
      <c r="W139" s="250">
        <f t="shared" si="50"/>
        <v>0</v>
      </c>
      <c r="X139" s="249"/>
      <c r="Y139" s="249"/>
      <c r="Z139" s="250">
        <f t="shared" si="51"/>
        <v>0</v>
      </c>
      <c r="AA139" s="249"/>
      <c r="AB139" s="249"/>
      <c r="AC139" s="250">
        <f t="shared" si="52"/>
        <v>0</v>
      </c>
      <c r="AD139" s="249"/>
      <c r="AE139" s="249"/>
      <c r="AF139" s="250">
        <f t="shared" si="53"/>
        <v>0</v>
      </c>
      <c r="AG139" s="249"/>
      <c r="AH139" s="249"/>
      <c r="AI139" s="250">
        <f t="shared" si="54"/>
        <v>0</v>
      </c>
      <c r="AJ139" s="249"/>
      <c r="AK139" s="249"/>
      <c r="AL139" s="250">
        <f t="shared" si="55"/>
        <v>0</v>
      </c>
      <c r="AM139" s="249"/>
      <c r="AN139" s="249"/>
      <c r="AO139" s="250">
        <f t="shared" si="56"/>
        <v>0</v>
      </c>
      <c r="AP139" s="249"/>
      <c r="AQ139" s="249"/>
      <c r="AR139" s="250">
        <f t="shared" si="57"/>
        <v>0</v>
      </c>
      <c r="AS139" s="249"/>
      <c r="AT139" s="249"/>
      <c r="AU139" s="250">
        <f t="shared" si="58"/>
        <v>0</v>
      </c>
      <c r="AV139" s="249"/>
      <c r="AW139" s="249"/>
      <c r="AX139" s="250">
        <f t="shared" si="59"/>
        <v>0</v>
      </c>
      <c r="AY139" s="249"/>
      <c r="AZ139" s="249"/>
      <c r="BA139" s="250">
        <f t="shared" si="60"/>
        <v>0</v>
      </c>
      <c r="BB139" s="249"/>
      <c r="BC139" s="249"/>
      <c r="BD139" s="250">
        <f t="shared" si="61"/>
        <v>0</v>
      </c>
    </row>
    <row r="140" spans="1:56">
      <c r="A140" s="251"/>
      <c r="B140" s="259" t="s">
        <v>385</v>
      </c>
      <c r="C140" s="249">
        <v>4870.5</v>
      </c>
      <c r="D140" s="249">
        <v>4870.5</v>
      </c>
      <c r="E140" s="508">
        <f t="shared" si="74"/>
        <v>0</v>
      </c>
      <c r="F140" s="249">
        <v>11722.5</v>
      </c>
      <c r="G140" s="249">
        <v>12202.32</v>
      </c>
      <c r="H140" s="437">
        <f t="shared" si="75"/>
        <v>4.0931541906589866</v>
      </c>
      <c r="I140" s="249">
        <v>4870.5</v>
      </c>
      <c r="J140" s="249">
        <v>4870.5</v>
      </c>
      <c r="K140" s="437">
        <f t="shared" si="76"/>
        <v>0</v>
      </c>
      <c r="L140" s="249">
        <v>11722.5</v>
      </c>
      <c r="M140" s="249">
        <v>12202.32</v>
      </c>
      <c r="N140" s="250">
        <f t="shared" si="77"/>
        <v>4.0931541906589866</v>
      </c>
      <c r="O140" s="249"/>
      <c r="P140" s="249"/>
      <c r="Q140" s="250">
        <f t="shared" si="48"/>
        <v>0</v>
      </c>
      <c r="R140" s="249"/>
      <c r="S140" s="249"/>
      <c r="T140" s="250">
        <f t="shared" si="49"/>
        <v>0</v>
      </c>
      <c r="U140" s="249"/>
      <c r="V140" s="249"/>
      <c r="W140" s="250">
        <f t="shared" si="50"/>
        <v>0</v>
      </c>
      <c r="X140" s="249"/>
      <c r="Y140" s="249"/>
      <c r="Z140" s="250">
        <f t="shared" si="51"/>
        <v>0</v>
      </c>
      <c r="AA140" s="249"/>
      <c r="AB140" s="249"/>
      <c r="AC140" s="250">
        <f t="shared" si="52"/>
        <v>0</v>
      </c>
      <c r="AD140" s="249"/>
      <c r="AE140" s="249"/>
      <c r="AF140" s="250">
        <f t="shared" si="53"/>
        <v>0</v>
      </c>
      <c r="AG140" s="249"/>
      <c r="AH140" s="249"/>
      <c r="AI140" s="250">
        <f t="shared" si="54"/>
        <v>0</v>
      </c>
      <c r="AJ140" s="249"/>
      <c r="AK140" s="249"/>
      <c r="AL140" s="250">
        <f t="shared" si="55"/>
        <v>0</v>
      </c>
      <c r="AM140" s="249"/>
      <c r="AN140" s="249"/>
      <c r="AO140" s="250">
        <f t="shared" si="56"/>
        <v>0</v>
      </c>
      <c r="AP140" s="249"/>
      <c r="AQ140" s="249"/>
      <c r="AR140" s="250">
        <f t="shared" si="57"/>
        <v>0</v>
      </c>
      <c r="AS140" s="249"/>
      <c r="AT140" s="249"/>
      <c r="AU140" s="250">
        <f t="shared" si="58"/>
        <v>0</v>
      </c>
      <c r="AV140" s="249"/>
      <c r="AW140" s="249"/>
      <c r="AX140" s="250">
        <f t="shared" si="59"/>
        <v>0</v>
      </c>
      <c r="AY140" s="249"/>
      <c r="AZ140" s="249"/>
      <c r="BA140" s="250">
        <f t="shared" si="60"/>
        <v>0</v>
      </c>
      <c r="BB140" s="249"/>
      <c r="BC140" s="249"/>
      <c r="BD140" s="250">
        <f t="shared" si="61"/>
        <v>0</v>
      </c>
    </row>
    <row r="141" spans="1:56">
      <c r="A141" s="251"/>
      <c r="B141" s="259" t="s">
        <v>386</v>
      </c>
      <c r="C141" s="249"/>
      <c r="D141" s="249"/>
      <c r="E141" s="508">
        <f t="shared" si="74"/>
        <v>0</v>
      </c>
      <c r="F141" s="249"/>
      <c r="G141" s="249"/>
      <c r="H141" s="437">
        <f t="shared" si="75"/>
        <v>0</v>
      </c>
      <c r="I141" s="249"/>
      <c r="J141" s="249"/>
      <c r="K141" s="437">
        <f t="shared" si="76"/>
        <v>0</v>
      </c>
      <c r="L141" s="249"/>
      <c r="M141" s="249"/>
      <c r="N141" s="250">
        <f t="shared" si="77"/>
        <v>0</v>
      </c>
      <c r="O141" s="249"/>
      <c r="P141" s="249"/>
      <c r="Q141" s="250">
        <f t="shared" si="48"/>
        <v>0</v>
      </c>
      <c r="R141" s="249"/>
      <c r="S141" s="249"/>
      <c r="T141" s="250">
        <f t="shared" si="49"/>
        <v>0</v>
      </c>
      <c r="U141" s="249"/>
      <c r="V141" s="249"/>
      <c r="W141" s="250">
        <f t="shared" si="50"/>
        <v>0</v>
      </c>
      <c r="X141" s="249"/>
      <c r="Y141" s="249"/>
      <c r="Z141" s="250">
        <f t="shared" si="51"/>
        <v>0</v>
      </c>
      <c r="AA141" s="249"/>
      <c r="AB141" s="249"/>
      <c r="AC141" s="250">
        <f t="shared" si="52"/>
        <v>0</v>
      </c>
      <c r="AD141" s="249"/>
      <c r="AE141" s="249"/>
      <c r="AF141" s="250">
        <f t="shared" si="53"/>
        <v>0</v>
      </c>
      <c r="AG141" s="249"/>
      <c r="AH141" s="249"/>
      <c r="AI141" s="250">
        <f t="shared" si="54"/>
        <v>0</v>
      </c>
      <c r="AJ141" s="249"/>
      <c r="AK141" s="249"/>
      <c r="AL141" s="250">
        <f t="shared" si="55"/>
        <v>0</v>
      </c>
      <c r="AM141" s="249"/>
      <c r="AN141" s="249"/>
      <c r="AO141" s="250">
        <f t="shared" si="56"/>
        <v>0</v>
      </c>
      <c r="AP141" s="249"/>
      <c r="AQ141" s="249"/>
      <c r="AR141" s="250">
        <f t="shared" si="57"/>
        <v>0</v>
      </c>
      <c r="AS141" s="249"/>
      <c r="AT141" s="249"/>
      <c r="AU141" s="250">
        <f t="shared" si="58"/>
        <v>0</v>
      </c>
      <c r="AV141" s="249"/>
      <c r="AW141" s="249"/>
      <c r="AX141" s="250">
        <f t="shared" si="59"/>
        <v>0</v>
      </c>
      <c r="AY141" s="249"/>
      <c r="AZ141" s="249"/>
      <c r="BA141" s="250">
        <f t="shared" si="60"/>
        <v>0</v>
      </c>
      <c r="BB141" s="249"/>
      <c r="BC141" s="249"/>
      <c r="BD141" s="250">
        <f t="shared" si="61"/>
        <v>0</v>
      </c>
    </row>
    <row r="142" spans="1:56">
      <c r="A142" s="251"/>
      <c r="B142" s="259" t="s">
        <v>387</v>
      </c>
      <c r="C142" s="249">
        <v>4498</v>
      </c>
      <c r="D142" s="249">
        <v>4498</v>
      </c>
      <c r="E142" s="508">
        <f t="shared" si="74"/>
        <v>0</v>
      </c>
      <c r="F142" s="249">
        <v>11116</v>
      </c>
      <c r="G142" s="249">
        <v>11410.345000000001</v>
      </c>
      <c r="H142" s="437">
        <f t="shared" si="75"/>
        <v>2.6479399064411764</v>
      </c>
      <c r="I142" s="249">
        <v>4498</v>
      </c>
      <c r="J142" s="249">
        <v>4498</v>
      </c>
      <c r="K142" s="437">
        <f t="shared" si="76"/>
        <v>0</v>
      </c>
      <c r="L142" s="249">
        <v>11116</v>
      </c>
      <c r="M142" s="249">
        <v>11410.345000000001</v>
      </c>
      <c r="N142" s="250">
        <f t="shared" si="77"/>
        <v>2.6479399064411764</v>
      </c>
      <c r="O142" s="249"/>
      <c r="P142" s="249"/>
      <c r="Q142" s="250">
        <f t="shared" si="48"/>
        <v>0</v>
      </c>
      <c r="R142" s="249"/>
      <c r="S142" s="249"/>
      <c r="T142" s="250">
        <f t="shared" si="49"/>
        <v>0</v>
      </c>
      <c r="U142" s="249"/>
      <c r="V142" s="249"/>
      <c r="W142" s="250">
        <f t="shared" si="50"/>
        <v>0</v>
      </c>
      <c r="X142" s="249"/>
      <c r="Y142" s="249"/>
      <c r="Z142" s="250">
        <f t="shared" si="51"/>
        <v>0</v>
      </c>
      <c r="AA142" s="249"/>
      <c r="AB142" s="249"/>
      <c r="AC142" s="250">
        <f t="shared" si="52"/>
        <v>0</v>
      </c>
      <c r="AD142" s="249"/>
      <c r="AE142" s="249"/>
      <c r="AF142" s="250">
        <f t="shared" si="53"/>
        <v>0</v>
      </c>
      <c r="AG142" s="249"/>
      <c r="AH142" s="249"/>
      <c r="AI142" s="250">
        <f t="shared" si="54"/>
        <v>0</v>
      </c>
      <c r="AJ142" s="249"/>
      <c r="AK142" s="249"/>
      <c r="AL142" s="250">
        <f t="shared" si="55"/>
        <v>0</v>
      </c>
      <c r="AM142" s="249"/>
      <c r="AN142" s="249"/>
      <c r="AO142" s="250">
        <f t="shared" si="56"/>
        <v>0</v>
      </c>
      <c r="AP142" s="249"/>
      <c r="AQ142" s="249"/>
      <c r="AR142" s="250">
        <f t="shared" si="57"/>
        <v>0</v>
      </c>
      <c r="AS142" s="249"/>
      <c r="AT142" s="249"/>
      <c r="AU142" s="250">
        <f t="shared" si="58"/>
        <v>0</v>
      </c>
      <c r="AV142" s="249"/>
      <c r="AW142" s="249"/>
      <c r="AX142" s="250">
        <f t="shared" si="59"/>
        <v>0</v>
      </c>
      <c r="AY142" s="249"/>
      <c r="AZ142" s="249"/>
      <c r="BA142" s="250">
        <f t="shared" si="60"/>
        <v>0</v>
      </c>
      <c r="BB142" s="249"/>
      <c r="BC142" s="249"/>
      <c r="BD142" s="250">
        <f t="shared" si="61"/>
        <v>0</v>
      </c>
    </row>
    <row r="143" spans="1:56">
      <c r="A143" s="251"/>
      <c r="B143" s="259" t="s">
        <v>388</v>
      </c>
      <c r="C143" s="249">
        <v>4423</v>
      </c>
      <c r="D143" s="249">
        <v>4423</v>
      </c>
      <c r="E143" s="508">
        <f t="shared" si="74"/>
        <v>0</v>
      </c>
      <c r="F143" s="249">
        <v>11688</v>
      </c>
      <c r="G143" s="249">
        <v>12051.25</v>
      </c>
      <c r="H143" s="437">
        <f t="shared" si="75"/>
        <v>3.1078884325804244</v>
      </c>
      <c r="I143" s="249">
        <v>4423</v>
      </c>
      <c r="J143" s="249">
        <v>4423</v>
      </c>
      <c r="K143" s="437">
        <f t="shared" si="76"/>
        <v>0</v>
      </c>
      <c r="L143" s="249">
        <v>11688</v>
      </c>
      <c r="M143" s="249">
        <v>12051.25</v>
      </c>
      <c r="N143" s="250">
        <f t="shared" si="77"/>
        <v>3.1078884325804244</v>
      </c>
      <c r="O143" s="249"/>
      <c r="P143" s="249"/>
      <c r="Q143" s="250">
        <f t="shared" si="48"/>
        <v>0</v>
      </c>
      <c r="R143" s="249"/>
      <c r="S143" s="249"/>
      <c r="T143" s="250">
        <f t="shared" si="49"/>
        <v>0</v>
      </c>
      <c r="U143" s="249"/>
      <c r="V143" s="249"/>
      <c r="W143" s="250">
        <f t="shared" si="50"/>
        <v>0</v>
      </c>
      <c r="X143" s="249"/>
      <c r="Y143" s="249"/>
      <c r="Z143" s="250">
        <f t="shared" si="51"/>
        <v>0</v>
      </c>
      <c r="AA143" s="249"/>
      <c r="AB143" s="249"/>
      <c r="AC143" s="250">
        <f t="shared" si="52"/>
        <v>0</v>
      </c>
      <c r="AD143" s="249"/>
      <c r="AE143" s="249"/>
      <c r="AF143" s="250">
        <f t="shared" si="53"/>
        <v>0</v>
      </c>
      <c r="AG143" s="249"/>
      <c r="AH143" s="249"/>
      <c r="AI143" s="250">
        <f t="shared" si="54"/>
        <v>0</v>
      </c>
      <c r="AJ143" s="249"/>
      <c r="AK143" s="249"/>
      <c r="AL143" s="250">
        <f t="shared" si="55"/>
        <v>0</v>
      </c>
      <c r="AM143" s="249"/>
      <c r="AN143" s="249"/>
      <c r="AO143" s="250">
        <f t="shared" si="56"/>
        <v>0</v>
      </c>
      <c r="AP143" s="249"/>
      <c r="AQ143" s="249"/>
      <c r="AR143" s="250">
        <f t="shared" si="57"/>
        <v>0</v>
      </c>
      <c r="AS143" s="249"/>
      <c r="AT143" s="249"/>
      <c r="AU143" s="250">
        <f t="shared" si="58"/>
        <v>0</v>
      </c>
      <c r="AV143" s="249"/>
      <c r="AW143" s="249"/>
      <c r="AX143" s="250">
        <f t="shared" si="59"/>
        <v>0</v>
      </c>
      <c r="AY143" s="249"/>
      <c r="AZ143" s="249"/>
      <c r="BA143" s="250">
        <f t="shared" si="60"/>
        <v>0</v>
      </c>
      <c r="BB143" s="249"/>
      <c r="BC143" s="249"/>
      <c r="BD143" s="250">
        <f t="shared" si="61"/>
        <v>0</v>
      </c>
    </row>
    <row r="144" spans="1:56">
      <c r="A144" s="251"/>
      <c r="B144" s="259" t="s">
        <v>389</v>
      </c>
      <c r="C144" s="249"/>
      <c r="D144" s="249"/>
      <c r="E144" s="508">
        <f t="shared" si="74"/>
        <v>0</v>
      </c>
      <c r="F144" s="249"/>
      <c r="G144" s="249"/>
      <c r="H144" s="437">
        <f t="shared" si="75"/>
        <v>0</v>
      </c>
      <c r="I144" s="249"/>
      <c r="J144" s="249"/>
      <c r="K144" s="437">
        <f t="shared" si="76"/>
        <v>0</v>
      </c>
      <c r="L144" s="249"/>
      <c r="M144" s="249"/>
      <c r="N144" s="250">
        <f t="shared" si="77"/>
        <v>0</v>
      </c>
      <c r="O144" s="249"/>
      <c r="P144" s="249"/>
      <c r="Q144" s="250">
        <f t="shared" si="48"/>
        <v>0</v>
      </c>
      <c r="R144" s="249"/>
      <c r="S144" s="249"/>
      <c r="T144" s="250">
        <f t="shared" si="49"/>
        <v>0</v>
      </c>
      <c r="U144" s="249"/>
      <c r="V144" s="249"/>
      <c r="W144" s="250">
        <f t="shared" si="50"/>
        <v>0</v>
      </c>
      <c r="X144" s="249"/>
      <c r="Y144" s="249"/>
      <c r="Z144" s="250">
        <f t="shared" si="51"/>
        <v>0</v>
      </c>
      <c r="AA144" s="249"/>
      <c r="AB144" s="249"/>
      <c r="AC144" s="250">
        <f t="shared" si="52"/>
        <v>0</v>
      </c>
      <c r="AD144" s="249"/>
      <c r="AE144" s="249"/>
      <c r="AF144" s="250">
        <f t="shared" si="53"/>
        <v>0</v>
      </c>
      <c r="AG144" s="249"/>
      <c r="AH144" s="249"/>
      <c r="AI144" s="250">
        <f t="shared" si="54"/>
        <v>0</v>
      </c>
      <c r="AJ144" s="249"/>
      <c r="AK144" s="249"/>
      <c r="AL144" s="250">
        <f t="shared" si="55"/>
        <v>0</v>
      </c>
      <c r="AM144" s="249"/>
      <c r="AN144" s="249"/>
      <c r="AO144" s="250">
        <f t="shared" si="56"/>
        <v>0</v>
      </c>
      <c r="AP144" s="249"/>
      <c r="AQ144" s="249"/>
      <c r="AR144" s="250">
        <f t="shared" si="57"/>
        <v>0</v>
      </c>
      <c r="AS144" s="249"/>
      <c r="AT144" s="249"/>
      <c r="AU144" s="250">
        <f t="shared" si="58"/>
        <v>0</v>
      </c>
      <c r="AV144" s="249"/>
      <c r="AW144" s="249"/>
      <c r="AX144" s="250">
        <f t="shared" si="59"/>
        <v>0</v>
      </c>
      <c r="AY144" s="249"/>
      <c r="AZ144" s="249"/>
      <c r="BA144" s="250">
        <f t="shared" si="60"/>
        <v>0</v>
      </c>
      <c r="BB144" s="249"/>
      <c r="BC144" s="249"/>
      <c r="BD144" s="250">
        <f t="shared" si="61"/>
        <v>0</v>
      </c>
    </row>
    <row r="145" spans="1:56" s="255" customFormat="1" ht="15.75" customHeight="1">
      <c r="A145" s="252"/>
      <c r="B145" s="431" t="s">
        <v>221</v>
      </c>
      <c r="C145" s="425">
        <v>4604.5</v>
      </c>
      <c r="D145" s="425">
        <v>4604.5</v>
      </c>
      <c r="E145" s="509">
        <f t="shared" si="74"/>
        <v>0</v>
      </c>
      <c r="F145" s="425">
        <v>11435</v>
      </c>
      <c r="G145" s="425">
        <v>11784.95</v>
      </c>
      <c r="H145" s="438">
        <f t="shared" si="75"/>
        <v>3.0603410581547941</v>
      </c>
      <c r="I145" s="425">
        <v>4604.5</v>
      </c>
      <c r="J145" s="425">
        <v>4604.5</v>
      </c>
      <c r="K145" s="438">
        <f t="shared" si="76"/>
        <v>0</v>
      </c>
      <c r="L145" s="425">
        <v>11435</v>
      </c>
      <c r="M145" s="425">
        <v>11784.95</v>
      </c>
      <c r="N145" s="421">
        <f t="shared" si="77"/>
        <v>3.0603410581547941</v>
      </c>
      <c r="O145" s="425"/>
      <c r="P145" s="425"/>
      <c r="Q145" s="421">
        <f t="shared" si="48"/>
        <v>0</v>
      </c>
      <c r="R145" s="425"/>
      <c r="S145" s="425"/>
      <c r="T145" s="421">
        <f t="shared" si="49"/>
        <v>0</v>
      </c>
      <c r="U145" s="425"/>
      <c r="V145" s="425"/>
      <c r="W145" s="421">
        <f t="shared" si="50"/>
        <v>0</v>
      </c>
      <c r="X145" s="425"/>
      <c r="Y145" s="425"/>
      <c r="Z145" s="421">
        <f t="shared" si="51"/>
        <v>0</v>
      </c>
      <c r="AA145" s="425"/>
      <c r="AB145" s="425"/>
      <c r="AC145" s="421">
        <f t="shared" si="52"/>
        <v>0</v>
      </c>
      <c r="AD145" s="425"/>
      <c r="AE145" s="425"/>
      <c r="AF145" s="421">
        <f t="shared" si="53"/>
        <v>0</v>
      </c>
      <c r="AG145" s="425"/>
      <c r="AH145" s="425"/>
      <c r="AI145" s="421">
        <f t="shared" si="54"/>
        <v>0</v>
      </c>
      <c r="AJ145" s="425"/>
      <c r="AK145" s="425"/>
      <c r="AL145" s="421">
        <f t="shared" si="55"/>
        <v>0</v>
      </c>
      <c r="AM145" s="425"/>
      <c r="AN145" s="425"/>
      <c r="AO145" s="421">
        <f t="shared" si="56"/>
        <v>0</v>
      </c>
      <c r="AP145" s="425"/>
      <c r="AQ145" s="425"/>
      <c r="AR145" s="421">
        <f t="shared" si="57"/>
        <v>0</v>
      </c>
      <c r="AS145" s="425"/>
      <c r="AT145" s="425"/>
      <c r="AU145" s="421">
        <f t="shared" si="58"/>
        <v>0</v>
      </c>
      <c r="AV145" s="425"/>
      <c r="AW145" s="425"/>
      <c r="AX145" s="421">
        <f t="shared" si="59"/>
        <v>0</v>
      </c>
      <c r="AY145" s="425"/>
      <c r="AZ145" s="425"/>
      <c r="BA145" s="421">
        <f t="shared" si="60"/>
        <v>0</v>
      </c>
      <c r="BB145" s="425"/>
      <c r="BC145" s="425"/>
      <c r="BD145" s="421">
        <f t="shared" si="61"/>
        <v>0</v>
      </c>
    </row>
    <row r="146" spans="1:56">
      <c r="A146" s="251"/>
      <c r="B146" s="259" t="s">
        <v>390</v>
      </c>
      <c r="C146" s="249"/>
      <c r="D146" s="249"/>
      <c r="E146" s="508">
        <f t="shared" si="74"/>
        <v>0</v>
      </c>
      <c r="F146" s="249"/>
      <c r="G146" s="249"/>
      <c r="H146" s="437">
        <f t="shared" si="75"/>
        <v>0</v>
      </c>
      <c r="I146" s="249"/>
      <c r="J146" s="249"/>
      <c r="K146" s="437">
        <f t="shared" si="76"/>
        <v>0</v>
      </c>
      <c r="L146" s="249"/>
      <c r="M146" s="249"/>
      <c r="N146" s="250">
        <f t="shared" si="77"/>
        <v>0</v>
      </c>
      <c r="O146" s="249"/>
      <c r="P146" s="249"/>
      <c r="Q146" s="250">
        <f t="shared" si="48"/>
        <v>0</v>
      </c>
      <c r="R146" s="249"/>
      <c r="S146" s="249"/>
      <c r="T146" s="250">
        <f t="shared" si="49"/>
        <v>0</v>
      </c>
      <c r="U146" s="249"/>
      <c r="V146" s="249"/>
      <c r="W146" s="250">
        <f t="shared" si="50"/>
        <v>0</v>
      </c>
      <c r="X146" s="249"/>
      <c r="Y146" s="249"/>
      <c r="Z146" s="250">
        <f t="shared" si="51"/>
        <v>0</v>
      </c>
      <c r="AA146" s="249"/>
      <c r="AB146" s="249"/>
      <c r="AC146" s="250">
        <f t="shared" si="52"/>
        <v>0</v>
      </c>
      <c r="AD146" s="249"/>
      <c r="AE146" s="249"/>
      <c r="AF146" s="250">
        <f t="shared" si="53"/>
        <v>0</v>
      </c>
      <c r="AG146" s="249"/>
      <c r="AH146" s="249"/>
      <c r="AI146" s="250">
        <f t="shared" si="54"/>
        <v>0</v>
      </c>
      <c r="AJ146" s="249"/>
      <c r="AK146" s="249"/>
      <c r="AL146" s="250">
        <f t="shared" si="55"/>
        <v>0</v>
      </c>
      <c r="AM146" s="249"/>
      <c r="AN146" s="249"/>
      <c r="AO146" s="250">
        <f t="shared" si="56"/>
        <v>0</v>
      </c>
      <c r="AP146" s="249"/>
      <c r="AQ146" s="249"/>
      <c r="AR146" s="250">
        <f t="shared" si="57"/>
        <v>0</v>
      </c>
      <c r="AS146" s="249"/>
      <c r="AT146" s="249"/>
      <c r="AU146" s="250">
        <f t="shared" si="58"/>
        <v>0</v>
      </c>
      <c r="AV146" s="249"/>
      <c r="AW146" s="249"/>
      <c r="AX146" s="250">
        <f t="shared" si="59"/>
        <v>0</v>
      </c>
      <c r="AY146" s="249"/>
      <c r="AZ146" s="249"/>
      <c r="BA146" s="250">
        <f t="shared" si="60"/>
        <v>0</v>
      </c>
      <c r="BB146" s="249"/>
      <c r="BC146" s="249"/>
      <c r="BD146" s="250">
        <f t="shared" si="61"/>
        <v>0</v>
      </c>
    </row>
    <row r="147" spans="1:56">
      <c r="A147" s="251"/>
      <c r="B147" s="259" t="s">
        <v>391</v>
      </c>
      <c r="C147" s="249">
        <v>1740</v>
      </c>
      <c r="D147" s="249">
        <v>1760</v>
      </c>
      <c r="E147" s="508">
        <f t="shared" si="74"/>
        <v>1.1494252873563218</v>
      </c>
      <c r="F147" s="249">
        <v>3700</v>
      </c>
      <c r="G147" s="249">
        <v>3818</v>
      </c>
      <c r="H147" s="437">
        <f t="shared" si="75"/>
        <v>3.189189189189189</v>
      </c>
      <c r="I147" s="249"/>
      <c r="J147" s="249"/>
      <c r="K147" s="437">
        <f t="shared" si="76"/>
        <v>0</v>
      </c>
      <c r="L147" s="249"/>
      <c r="M147" s="249"/>
      <c r="N147" s="250">
        <f t="shared" si="77"/>
        <v>0</v>
      </c>
      <c r="O147" s="249"/>
      <c r="P147" s="249"/>
      <c r="Q147" s="250">
        <f t="shared" si="48"/>
        <v>0</v>
      </c>
      <c r="R147" s="249"/>
      <c r="S147" s="249"/>
      <c r="T147" s="250">
        <f t="shared" si="49"/>
        <v>0</v>
      </c>
      <c r="U147" s="249"/>
      <c r="V147" s="249"/>
      <c r="W147" s="250">
        <f t="shared" si="50"/>
        <v>0</v>
      </c>
      <c r="X147" s="249"/>
      <c r="Y147" s="249"/>
      <c r="Z147" s="250">
        <f t="shared" si="51"/>
        <v>0</v>
      </c>
      <c r="AA147" s="249"/>
      <c r="AB147" s="249"/>
      <c r="AC147" s="250">
        <f t="shared" si="52"/>
        <v>0</v>
      </c>
      <c r="AD147" s="249"/>
      <c r="AE147" s="249"/>
      <c r="AF147" s="250">
        <f t="shared" si="53"/>
        <v>0</v>
      </c>
      <c r="AG147" s="249"/>
      <c r="AH147" s="249"/>
      <c r="AI147" s="250">
        <f t="shared" si="54"/>
        <v>0</v>
      </c>
      <c r="AJ147" s="249"/>
      <c r="AK147" s="249"/>
      <c r="AL147" s="250">
        <f t="shared" si="55"/>
        <v>0</v>
      </c>
      <c r="AM147" s="249"/>
      <c r="AN147" s="249"/>
      <c r="AO147" s="250">
        <f t="shared" si="56"/>
        <v>0</v>
      </c>
      <c r="AP147" s="249"/>
      <c r="AQ147" s="249"/>
      <c r="AR147" s="250">
        <f t="shared" si="57"/>
        <v>0</v>
      </c>
      <c r="AS147" s="249"/>
      <c r="AT147" s="249"/>
      <c r="AU147" s="250">
        <f t="shared" si="58"/>
        <v>0</v>
      </c>
      <c r="AV147" s="249"/>
      <c r="AW147" s="249"/>
      <c r="AX147" s="250">
        <f t="shared" si="59"/>
        <v>0</v>
      </c>
      <c r="AY147" s="249"/>
      <c r="AZ147" s="249"/>
      <c r="BA147" s="250">
        <f t="shared" si="60"/>
        <v>0</v>
      </c>
      <c r="BB147" s="249"/>
      <c r="BC147" s="249"/>
      <c r="BD147" s="250">
        <f t="shared" si="61"/>
        <v>0</v>
      </c>
    </row>
    <row r="148" spans="1:56">
      <c r="A148" s="251"/>
      <c r="B148" s="259" t="s">
        <v>392</v>
      </c>
      <c r="C148" s="249">
        <v>1803</v>
      </c>
      <c r="D148" s="249">
        <v>1818</v>
      </c>
      <c r="E148" s="508">
        <f t="shared" si="74"/>
        <v>0.83194675540765384</v>
      </c>
      <c r="F148" s="249">
        <v>3587</v>
      </c>
      <c r="G148" s="249">
        <v>3700</v>
      </c>
      <c r="H148" s="437">
        <f t="shared" si="75"/>
        <v>3.1502648452746032</v>
      </c>
      <c r="I148" s="249"/>
      <c r="J148" s="249"/>
      <c r="K148" s="437">
        <f t="shared" si="76"/>
        <v>0</v>
      </c>
      <c r="L148" s="249"/>
      <c r="M148" s="249"/>
      <c r="N148" s="250">
        <f t="shared" si="77"/>
        <v>0</v>
      </c>
      <c r="O148" s="249"/>
      <c r="P148" s="249"/>
      <c r="Q148" s="250">
        <f t="shared" ref="Q148:Q211" si="78">IF(O148&gt;0,(((P148-O148)/O148)*100),0)</f>
        <v>0</v>
      </c>
      <c r="R148" s="249"/>
      <c r="S148" s="249"/>
      <c r="T148" s="250">
        <f t="shared" ref="T148:T211" si="79">IF(R148&gt;0,(((S148-R148)/R148)*100),0)</f>
        <v>0</v>
      </c>
      <c r="U148" s="249"/>
      <c r="V148" s="249"/>
      <c r="W148" s="250">
        <f t="shared" ref="W148:W211" si="80">IF(U148&gt;0,(((V148-U148)/U148)*100),0)</f>
        <v>0</v>
      </c>
      <c r="X148" s="249"/>
      <c r="Y148" s="249"/>
      <c r="Z148" s="250">
        <f t="shared" ref="Z148:Z211" si="81">IF(X148&gt;0,(((Y148-X148)/X148)*100),0)</f>
        <v>0</v>
      </c>
      <c r="AA148" s="249"/>
      <c r="AB148" s="249"/>
      <c r="AC148" s="250">
        <f t="shared" ref="AC148:AC211" si="82">IF(AA148&gt;0,(((AB148-AA148)/AA148)*100),0)</f>
        <v>0</v>
      </c>
      <c r="AD148" s="249"/>
      <c r="AE148" s="249"/>
      <c r="AF148" s="250">
        <f t="shared" ref="AF148:AF211" si="83">IF(AD148&gt;0,(((AE148-AD148)/AD148)*100),0)</f>
        <v>0</v>
      </c>
      <c r="AG148" s="249"/>
      <c r="AH148" s="249"/>
      <c r="AI148" s="250">
        <f t="shared" ref="AI148:AI211" si="84">IF(AG148&gt;0,(((AH148-AG148)/AG148)*100),0)</f>
        <v>0</v>
      </c>
      <c r="AJ148" s="249"/>
      <c r="AK148" s="249"/>
      <c r="AL148" s="250">
        <f t="shared" ref="AL148:AL211" si="85">IF(AJ148&gt;0,(((AK148-AJ148)/AJ148)*100),0)</f>
        <v>0</v>
      </c>
      <c r="AM148" s="249"/>
      <c r="AN148" s="249"/>
      <c r="AO148" s="250">
        <f t="shared" ref="AO148:AO211" si="86">IF(AM148&gt;0,(((AN148-AM148)/AM148)*100),0)</f>
        <v>0</v>
      </c>
      <c r="AP148" s="249"/>
      <c r="AQ148" s="249"/>
      <c r="AR148" s="250">
        <f t="shared" ref="AR148:AR211" si="87">IF(AP148&gt;0,(((AQ148-AP148)/AP148)*100),0)</f>
        <v>0</v>
      </c>
      <c r="AS148" s="249"/>
      <c r="AT148" s="249"/>
      <c r="AU148" s="250">
        <f t="shared" ref="AU148:AU211" si="88">IF(AS148&gt;0,(((AT148-AS148)/AS148)*100),0)</f>
        <v>0</v>
      </c>
      <c r="AV148" s="249"/>
      <c r="AW148" s="249"/>
      <c r="AX148" s="250">
        <f t="shared" ref="AX148:AX211" si="89">IF(AV148&gt;0,(((AW148-AV148)/AV148)*100),0)</f>
        <v>0</v>
      </c>
      <c r="AY148" s="249"/>
      <c r="AZ148" s="249"/>
      <c r="BA148" s="250">
        <f t="shared" ref="BA148:BA211" si="90">IF(AY148&gt;0,(((AZ148-AY148)/AY148)*100),0)</f>
        <v>0</v>
      </c>
      <c r="BB148" s="249"/>
      <c r="BC148" s="249"/>
      <c r="BD148" s="250">
        <f t="shared" ref="BD148:BD211" si="91">IF(BB148&gt;0,(((BC148-BB148)/BB148)*100),0)</f>
        <v>0</v>
      </c>
    </row>
    <row r="149" spans="1:56">
      <c r="A149" s="251"/>
      <c r="B149" s="259" t="s">
        <v>196</v>
      </c>
      <c r="C149" s="249">
        <v>1800</v>
      </c>
      <c r="D149" s="249">
        <v>1850</v>
      </c>
      <c r="E149" s="508">
        <f t="shared" si="74"/>
        <v>2.7777777777777777</v>
      </c>
      <c r="F149" s="249">
        <v>4600</v>
      </c>
      <c r="G149" s="249">
        <v>4650</v>
      </c>
      <c r="H149" s="437">
        <f t="shared" si="75"/>
        <v>1.0869565217391304</v>
      </c>
      <c r="I149" s="249"/>
      <c r="J149" s="249"/>
      <c r="K149" s="437">
        <f t="shared" si="76"/>
        <v>0</v>
      </c>
      <c r="L149" s="249"/>
      <c r="M149" s="249"/>
      <c r="N149" s="250">
        <f t="shared" si="77"/>
        <v>0</v>
      </c>
      <c r="O149" s="249"/>
      <c r="P149" s="249"/>
      <c r="Q149" s="250">
        <f t="shared" si="78"/>
        <v>0</v>
      </c>
      <c r="R149" s="249"/>
      <c r="S149" s="249"/>
      <c r="T149" s="250">
        <f t="shared" si="79"/>
        <v>0</v>
      </c>
      <c r="U149" s="249"/>
      <c r="V149" s="249"/>
      <c r="W149" s="250">
        <f t="shared" si="80"/>
        <v>0</v>
      </c>
      <c r="X149" s="249"/>
      <c r="Y149" s="249"/>
      <c r="Z149" s="250">
        <f t="shared" si="81"/>
        <v>0</v>
      </c>
      <c r="AA149" s="249"/>
      <c r="AB149" s="249"/>
      <c r="AC149" s="250">
        <f t="shared" si="82"/>
        <v>0</v>
      </c>
      <c r="AD149" s="249"/>
      <c r="AE149" s="249"/>
      <c r="AF149" s="250">
        <f t="shared" si="83"/>
        <v>0</v>
      </c>
      <c r="AG149" s="249"/>
      <c r="AH149" s="249"/>
      <c r="AI149" s="250">
        <f t="shared" si="84"/>
        <v>0</v>
      </c>
      <c r="AJ149" s="249"/>
      <c r="AK149" s="249"/>
      <c r="AL149" s="250">
        <f t="shared" si="85"/>
        <v>0</v>
      </c>
      <c r="AM149" s="249"/>
      <c r="AN149" s="249"/>
      <c r="AO149" s="250">
        <f t="shared" si="86"/>
        <v>0</v>
      </c>
      <c r="AP149" s="249"/>
      <c r="AQ149" s="249"/>
      <c r="AR149" s="250">
        <f t="shared" si="87"/>
        <v>0</v>
      </c>
      <c r="AS149" s="249"/>
      <c r="AT149" s="249"/>
      <c r="AU149" s="250">
        <f t="shared" si="88"/>
        <v>0</v>
      </c>
      <c r="AV149" s="249"/>
      <c r="AW149" s="249"/>
      <c r="AX149" s="250">
        <f t="shared" si="89"/>
        <v>0</v>
      </c>
      <c r="AY149" s="249"/>
      <c r="AZ149" s="249"/>
      <c r="BA149" s="250">
        <f t="shared" si="90"/>
        <v>0</v>
      </c>
      <c r="BB149" s="249"/>
      <c r="BC149" s="249"/>
      <c r="BD149" s="250">
        <f t="shared" si="91"/>
        <v>0</v>
      </c>
    </row>
    <row r="150" spans="1:56" s="255" customFormat="1" ht="20.25" customHeight="1">
      <c r="A150" s="252"/>
      <c r="B150" s="427" t="s">
        <v>550</v>
      </c>
      <c r="C150" s="425">
        <v>1800</v>
      </c>
      <c r="D150" s="425">
        <v>1806</v>
      </c>
      <c r="E150" s="509">
        <f t="shared" si="74"/>
        <v>0.33333333333333337</v>
      </c>
      <c r="F150" s="425">
        <v>3650</v>
      </c>
      <c r="G150" s="425">
        <v>3818</v>
      </c>
      <c r="H150" s="438">
        <f t="shared" si="75"/>
        <v>4.602739726027397</v>
      </c>
      <c r="I150" s="253"/>
      <c r="J150" s="253"/>
      <c r="K150" s="440">
        <f t="shared" si="76"/>
        <v>0</v>
      </c>
      <c r="L150" s="253"/>
      <c r="M150" s="253"/>
      <c r="N150" s="254">
        <f t="shared" si="77"/>
        <v>0</v>
      </c>
      <c r="O150" s="253"/>
      <c r="P150" s="253"/>
      <c r="Q150" s="254">
        <f t="shared" si="78"/>
        <v>0</v>
      </c>
      <c r="R150" s="253"/>
      <c r="S150" s="253"/>
      <c r="T150" s="254">
        <f t="shared" si="79"/>
        <v>0</v>
      </c>
      <c r="U150" s="253"/>
      <c r="V150" s="253"/>
      <c r="W150" s="254">
        <f t="shared" si="80"/>
        <v>0</v>
      </c>
      <c r="X150" s="253"/>
      <c r="Y150" s="253"/>
      <c r="Z150" s="254">
        <f t="shared" si="81"/>
        <v>0</v>
      </c>
      <c r="AA150" s="253"/>
      <c r="AB150" s="253"/>
      <c r="AC150" s="254">
        <f t="shared" si="82"/>
        <v>0</v>
      </c>
      <c r="AD150" s="253"/>
      <c r="AE150" s="253"/>
      <c r="AF150" s="254">
        <f t="shared" si="83"/>
        <v>0</v>
      </c>
      <c r="AG150" s="253"/>
      <c r="AH150" s="253"/>
      <c r="AI150" s="254">
        <f t="shared" si="84"/>
        <v>0</v>
      </c>
      <c r="AJ150" s="253"/>
      <c r="AK150" s="253"/>
      <c r="AL150" s="254">
        <f t="shared" si="85"/>
        <v>0</v>
      </c>
      <c r="AM150" s="253"/>
      <c r="AN150" s="253"/>
      <c r="AO150" s="254">
        <f t="shared" si="86"/>
        <v>0</v>
      </c>
      <c r="AP150" s="253"/>
      <c r="AQ150" s="253"/>
      <c r="AR150" s="254">
        <f t="shared" si="87"/>
        <v>0</v>
      </c>
      <c r="AS150" s="253"/>
      <c r="AT150" s="253"/>
      <c r="AU150" s="254">
        <f t="shared" si="88"/>
        <v>0</v>
      </c>
      <c r="AV150" s="253"/>
      <c r="AW150" s="253"/>
      <c r="AX150" s="254">
        <f t="shared" si="89"/>
        <v>0</v>
      </c>
      <c r="AY150" s="253"/>
      <c r="AZ150" s="253"/>
      <c r="BA150" s="254">
        <f t="shared" si="90"/>
        <v>0</v>
      </c>
      <c r="BB150" s="253"/>
      <c r="BC150" s="253"/>
      <c r="BD150" s="254">
        <f t="shared" si="91"/>
        <v>0</v>
      </c>
    </row>
    <row r="151" spans="1:56">
      <c r="A151" s="251"/>
      <c r="B151" s="259" t="s">
        <v>197</v>
      </c>
      <c r="C151" s="249"/>
      <c r="D151" s="249"/>
      <c r="E151" s="508">
        <f t="shared" si="74"/>
        <v>0</v>
      </c>
      <c r="F151" s="249"/>
      <c r="G151" s="249"/>
      <c r="H151" s="437">
        <f t="shared" si="75"/>
        <v>0</v>
      </c>
      <c r="I151" s="249"/>
      <c r="J151" s="249"/>
      <c r="K151" s="437">
        <f t="shared" si="76"/>
        <v>0</v>
      </c>
      <c r="L151" s="249"/>
      <c r="M151" s="249"/>
      <c r="N151" s="250">
        <f t="shared" si="77"/>
        <v>0</v>
      </c>
      <c r="O151" s="249"/>
      <c r="P151" s="249"/>
      <c r="Q151" s="250">
        <f t="shared" si="78"/>
        <v>0</v>
      </c>
      <c r="R151" s="249"/>
      <c r="S151" s="249"/>
      <c r="T151" s="250">
        <f t="shared" si="79"/>
        <v>0</v>
      </c>
      <c r="U151" s="249"/>
      <c r="V151" s="249"/>
      <c r="W151" s="250">
        <f t="shared" si="80"/>
        <v>0</v>
      </c>
      <c r="X151" s="249"/>
      <c r="Y151" s="249"/>
      <c r="Z151" s="250">
        <f t="shared" si="81"/>
        <v>0</v>
      </c>
      <c r="AA151" s="249"/>
      <c r="AB151" s="249"/>
      <c r="AC151" s="250">
        <f t="shared" si="82"/>
        <v>0</v>
      </c>
      <c r="AD151" s="249"/>
      <c r="AE151" s="249"/>
      <c r="AF151" s="250">
        <f t="shared" si="83"/>
        <v>0</v>
      </c>
      <c r="AG151" s="249"/>
      <c r="AH151" s="249"/>
      <c r="AI151" s="250">
        <f t="shared" si="84"/>
        <v>0</v>
      </c>
      <c r="AJ151" s="249"/>
      <c r="AK151" s="249"/>
      <c r="AL151" s="250">
        <f t="shared" si="85"/>
        <v>0</v>
      </c>
      <c r="AM151" s="249"/>
      <c r="AN151" s="249"/>
      <c r="AO151" s="250">
        <f t="shared" si="86"/>
        <v>0</v>
      </c>
      <c r="AP151" s="249"/>
      <c r="AQ151" s="249"/>
      <c r="AR151" s="250">
        <f t="shared" si="87"/>
        <v>0</v>
      </c>
      <c r="AS151" s="249"/>
      <c r="AT151" s="249"/>
      <c r="AU151" s="250">
        <f t="shared" si="88"/>
        <v>0</v>
      </c>
      <c r="AV151" s="249"/>
      <c r="AW151" s="249"/>
      <c r="AX151" s="250">
        <f t="shared" si="89"/>
        <v>0</v>
      </c>
      <c r="AY151" s="249"/>
      <c r="AZ151" s="249"/>
      <c r="BA151" s="250">
        <f t="shared" si="90"/>
        <v>0</v>
      </c>
      <c r="BB151" s="249"/>
      <c r="BC151" s="249"/>
      <c r="BD151" s="250">
        <f t="shared" si="91"/>
        <v>0</v>
      </c>
    </row>
    <row r="152" spans="1:56">
      <c r="A152" s="251"/>
      <c r="B152" s="259" t="s">
        <v>326</v>
      </c>
      <c r="C152" s="249"/>
      <c r="D152" s="249"/>
      <c r="E152" s="508">
        <f t="shared" si="74"/>
        <v>0</v>
      </c>
      <c r="F152" s="249"/>
      <c r="G152" s="249"/>
      <c r="H152" s="437">
        <f t="shared" si="75"/>
        <v>0</v>
      </c>
      <c r="I152" s="249"/>
      <c r="J152" s="249"/>
      <c r="K152" s="437">
        <f t="shared" si="76"/>
        <v>0</v>
      </c>
      <c r="L152" s="249"/>
      <c r="M152" s="249"/>
      <c r="N152" s="250">
        <f t="shared" si="77"/>
        <v>0</v>
      </c>
      <c r="O152" s="249"/>
      <c r="P152" s="249"/>
      <c r="Q152" s="250">
        <f t="shared" si="78"/>
        <v>0</v>
      </c>
      <c r="R152" s="249"/>
      <c r="S152" s="249"/>
      <c r="T152" s="250">
        <f t="shared" si="79"/>
        <v>0</v>
      </c>
      <c r="U152" s="249"/>
      <c r="V152" s="249"/>
      <c r="W152" s="250">
        <f t="shared" si="80"/>
        <v>0</v>
      </c>
      <c r="X152" s="249"/>
      <c r="Y152" s="249"/>
      <c r="Z152" s="250">
        <f t="shared" si="81"/>
        <v>0</v>
      </c>
      <c r="AA152" s="249"/>
      <c r="AB152" s="249"/>
      <c r="AC152" s="250">
        <f t="shared" si="82"/>
        <v>0</v>
      </c>
      <c r="AD152" s="249"/>
      <c r="AE152" s="249"/>
      <c r="AF152" s="250">
        <f t="shared" si="83"/>
        <v>0</v>
      </c>
      <c r="AG152" s="249"/>
      <c r="AH152" s="249"/>
      <c r="AI152" s="250">
        <f t="shared" si="84"/>
        <v>0</v>
      </c>
      <c r="AJ152" s="249"/>
      <c r="AK152" s="249"/>
      <c r="AL152" s="250">
        <f t="shared" si="85"/>
        <v>0</v>
      </c>
      <c r="AM152" s="249"/>
      <c r="AN152" s="249"/>
      <c r="AO152" s="250">
        <f t="shared" si="86"/>
        <v>0</v>
      </c>
      <c r="AP152" s="249"/>
      <c r="AQ152" s="249"/>
      <c r="AR152" s="250">
        <f t="shared" si="87"/>
        <v>0</v>
      </c>
      <c r="AS152" s="249"/>
      <c r="AT152" s="249"/>
      <c r="AU152" s="250">
        <f t="shared" si="88"/>
        <v>0</v>
      </c>
      <c r="AV152" s="249"/>
      <c r="AW152" s="249"/>
      <c r="AX152" s="250">
        <f t="shared" si="89"/>
        <v>0</v>
      </c>
      <c r="AY152" s="249"/>
      <c r="AZ152" s="249"/>
      <c r="BA152" s="250">
        <f t="shared" si="90"/>
        <v>0</v>
      </c>
      <c r="BB152" s="249"/>
      <c r="BC152" s="249"/>
      <c r="BD152" s="250">
        <f t="shared" si="91"/>
        <v>0</v>
      </c>
    </row>
    <row r="153" spans="1:56">
      <c r="A153" s="251"/>
      <c r="B153" s="259" t="s">
        <v>327</v>
      </c>
      <c r="C153" s="249"/>
      <c r="D153" s="249"/>
      <c r="E153" s="508"/>
      <c r="F153" s="249"/>
      <c r="G153" s="249"/>
      <c r="H153" s="437">
        <f t="shared" si="75"/>
        <v>0</v>
      </c>
      <c r="I153" s="249"/>
      <c r="J153" s="249"/>
      <c r="K153" s="437">
        <f t="shared" si="76"/>
        <v>0</v>
      </c>
      <c r="L153" s="249"/>
      <c r="M153" s="249"/>
      <c r="N153" s="250">
        <f t="shared" si="77"/>
        <v>0</v>
      </c>
      <c r="O153" s="249"/>
      <c r="P153" s="249"/>
      <c r="Q153" s="250">
        <f t="shared" si="78"/>
        <v>0</v>
      </c>
      <c r="R153" s="249"/>
      <c r="S153" s="249"/>
      <c r="T153" s="250">
        <f t="shared" si="79"/>
        <v>0</v>
      </c>
      <c r="U153" s="249"/>
      <c r="V153" s="249"/>
      <c r="W153" s="250">
        <f t="shared" si="80"/>
        <v>0</v>
      </c>
      <c r="X153" s="249"/>
      <c r="Y153" s="249"/>
      <c r="Z153" s="250">
        <f t="shared" si="81"/>
        <v>0</v>
      </c>
      <c r="AA153" s="249"/>
      <c r="AB153" s="249"/>
      <c r="AC153" s="250">
        <f t="shared" si="82"/>
        <v>0</v>
      </c>
      <c r="AD153" s="249"/>
      <c r="AE153" s="249"/>
      <c r="AF153" s="250">
        <f t="shared" si="83"/>
        <v>0</v>
      </c>
      <c r="AG153" s="249"/>
      <c r="AH153" s="249"/>
      <c r="AI153" s="250">
        <f t="shared" si="84"/>
        <v>0</v>
      </c>
      <c r="AJ153" s="249"/>
      <c r="AK153" s="249"/>
      <c r="AL153" s="250">
        <f t="shared" si="85"/>
        <v>0</v>
      </c>
      <c r="AM153" s="249"/>
      <c r="AN153" s="249"/>
      <c r="AO153" s="250">
        <f t="shared" si="86"/>
        <v>0</v>
      </c>
      <c r="AP153" s="249"/>
      <c r="AQ153" s="249"/>
      <c r="AR153" s="250">
        <f t="shared" si="87"/>
        <v>0</v>
      </c>
      <c r="AS153" s="249"/>
      <c r="AT153" s="249"/>
      <c r="AU153" s="250">
        <f t="shared" si="88"/>
        <v>0</v>
      </c>
      <c r="AV153" s="249"/>
      <c r="AW153" s="249"/>
      <c r="AX153" s="250">
        <f t="shared" si="89"/>
        <v>0</v>
      </c>
      <c r="AY153" s="249"/>
      <c r="AZ153" s="249"/>
      <c r="BA153" s="250">
        <f t="shared" si="90"/>
        <v>0</v>
      </c>
      <c r="BB153" s="249"/>
      <c r="BC153" s="249"/>
      <c r="BD153" s="250">
        <f t="shared" si="91"/>
        <v>0</v>
      </c>
    </row>
    <row r="154" spans="1:56" s="255" customFormat="1" ht="21.75" customHeight="1">
      <c r="A154" s="252"/>
      <c r="B154" s="427" t="s">
        <v>315</v>
      </c>
      <c r="C154" s="253"/>
      <c r="D154" s="253"/>
      <c r="E154" s="511">
        <f>IF(C154&gt;0,(((D154-C154)/C154)*100),0)</f>
        <v>0</v>
      </c>
      <c r="F154" s="253"/>
      <c r="G154" s="253"/>
      <c r="H154" s="440">
        <f t="shared" si="75"/>
        <v>0</v>
      </c>
      <c r="I154" s="253"/>
      <c r="J154" s="253"/>
      <c r="K154" s="440">
        <f t="shared" si="76"/>
        <v>0</v>
      </c>
      <c r="L154" s="253"/>
      <c r="M154" s="253"/>
      <c r="N154" s="254">
        <f t="shared" si="77"/>
        <v>0</v>
      </c>
      <c r="O154" s="253"/>
      <c r="P154" s="253"/>
      <c r="Q154" s="254">
        <f t="shared" si="78"/>
        <v>0</v>
      </c>
      <c r="R154" s="253"/>
      <c r="S154" s="253"/>
      <c r="T154" s="254">
        <f t="shared" si="79"/>
        <v>0</v>
      </c>
      <c r="U154" s="253"/>
      <c r="V154" s="253"/>
      <c r="W154" s="254">
        <f t="shared" si="80"/>
        <v>0</v>
      </c>
      <c r="X154" s="253"/>
      <c r="Y154" s="253"/>
      <c r="Z154" s="254">
        <f t="shared" si="81"/>
        <v>0</v>
      </c>
      <c r="AA154" s="253"/>
      <c r="AB154" s="253"/>
      <c r="AC154" s="254">
        <f t="shared" si="82"/>
        <v>0</v>
      </c>
      <c r="AD154" s="253"/>
      <c r="AE154" s="253"/>
      <c r="AF154" s="254">
        <f t="shared" si="83"/>
        <v>0</v>
      </c>
      <c r="AG154" s="253"/>
      <c r="AH154" s="253"/>
      <c r="AI154" s="254">
        <f t="shared" si="84"/>
        <v>0</v>
      </c>
      <c r="AJ154" s="253"/>
      <c r="AK154" s="253"/>
      <c r="AL154" s="254">
        <f t="shared" si="85"/>
        <v>0</v>
      </c>
      <c r="AM154" s="253"/>
      <c r="AN154" s="253"/>
      <c r="AO154" s="254">
        <f t="shared" si="86"/>
        <v>0</v>
      </c>
      <c r="AP154" s="253"/>
      <c r="AQ154" s="253"/>
      <c r="AR154" s="254">
        <f t="shared" si="87"/>
        <v>0</v>
      </c>
      <c r="AS154" s="253"/>
      <c r="AT154" s="253"/>
      <c r="AU154" s="254">
        <f t="shared" si="88"/>
        <v>0</v>
      </c>
      <c r="AV154" s="253"/>
      <c r="AW154" s="253"/>
      <c r="AX154" s="254">
        <f t="shared" si="89"/>
        <v>0</v>
      </c>
      <c r="AY154" s="253"/>
      <c r="AZ154" s="253"/>
      <c r="BA154" s="254">
        <f t="shared" si="90"/>
        <v>0</v>
      </c>
      <c r="BB154" s="253"/>
      <c r="BC154" s="253"/>
      <c r="BD154" s="254">
        <f t="shared" si="91"/>
        <v>0</v>
      </c>
    </row>
    <row r="155" spans="1:56">
      <c r="A155" s="256"/>
      <c r="B155" s="428" t="s">
        <v>198</v>
      </c>
      <c r="C155" s="257"/>
      <c r="D155" s="257"/>
      <c r="E155" s="510"/>
      <c r="F155" s="257"/>
      <c r="G155" s="257"/>
      <c r="H155" s="439"/>
      <c r="I155" s="257"/>
      <c r="J155" s="257"/>
      <c r="K155" s="439"/>
      <c r="L155" s="257"/>
      <c r="M155" s="257"/>
      <c r="N155" s="258"/>
      <c r="O155" s="257">
        <v>9350</v>
      </c>
      <c r="P155" s="257">
        <v>9350</v>
      </c>
      <c r="Q155" s="258">
        <f t="shared" si="78"/>
        <v>0</v>
      </c>
      <c r="R155" s="257">
        <v>19620</v>
      </c>
      <c r="S155" s="257">
        <v>20444</v>
      </c>
      <c r="T155" s="258">
        <f t="shared" si="79"/>
        <v>4.1997961264016306</v>
      </c>
      <c r="U155" s="257">
        <v>11649</v>
      </c>
      <c r="V155" s="257">
        <v>13649</v>
      </c>
      <c r="W155" s="258">
        <f t="shared" si="80"/>
        <v>17.168855695767878</v>
      </c>
      <c r="X155" s="257">
        <v>27142</v>
      </c>
      <c r="Y155" s="257">
        <v>31802</v>
      </c>
      <c r="Z155" s="258">
        <f t="shared" si="81"/>
        <v>17.168963230417802</v>
      </c>
      <c r="AA155" s="257">
        <v>11530</v>
      </c>
      <c r="AB155" s="257">
        <v>14030</v>
      </c>
      <c r="AC155" s="258">
        <f t="shared" si="82"/>
        <v>21.682567215958372</v>
      </c>
      <c r="AD155" s="257">
        <v>26865</v>
      </c>
      <c r="AE155" s="257">
        <v>32690</v>
      </c>
      <c r="AF155" s="258">
        <f t="shared" si="83"/>
        <v>21.682486506607109</v>
      </c>
      <c r="AG155" s="257">
        <v>11298</v>
      </c>
      <c r="AH155" s="257">
        <v>12348</v>
      </c>
      <c r="AI155" s="258">
        <f t="shared" si="84"/>
        <v>9.2936802973977688</v>
      </c>
      <c r="AJ155" s="257">
        <v>23037</v>
      </c>
      <c r="AK155" s="257">
        <v>26665</v>
      </c>
      <c r="AL155" s="258">
        <f t="shared" si="85"/>
        <v>15.748578373920216</v>
      </c>
      <c r="AM155" s="257"/>
      <c r="AN155" s="257"/>
      <c r="AO155" s="258">
        <f t="shared" si="86"/>
        <v>0</v>
      </c>
      <c r="AP155" s="257"/>
      <c r="AQ155" s="257"/>
      <c r="AR155" s="258">
        <f t="shared" si="87"/>
        <v>0</v>
      </c>
      <c r="AS155" s="257"/>
      <c r="AT155" s="257"/>
      <c r="AU155" s="258">
        <f t="shared" si="88"/>
        <v>0</v>
      </c>
      <c r="AV155" s="257"/>
      <c r="AW155" s="257"/>
      <c r="AX155" s="258">
        <f t="shared" si="89"/>
        <v>0</v>
      </c>
      <c r="AY155" s="257">
        <v>15759</v>
      </c>
      <c r="AZ155" s="257">
        <v>15847</v>
      </c>
      <c r="BA155" s="258">
        <f t="shared" si="90"/>
        <v>0.55841106669204899</v>
      </c>
      <c r="BB155" s="257">
        <v>39184</v>
      </c>
      <c r="BC155" s="257">
        <v>36932</v>
      </c>
      <c r="BD155" s="466">
        <f t="shared" si="91"/>
        <v>-5.7472437729685586</v>
      </c>
    </row>
    <row r="156" spans="1:56">
      <c r="A156" s="247" t="s">
        <v>642</v>
      </c>
      <c r="B156" s="259" t="s">
        <v>384</v>
      </c>
      <c r="C156" s="249">
        <v>5335.5</v>
      </c>
      <c r="D156" s="249">
        <v>5550</v>
      </c>
      <c r="E156" s="508">
        <f t="shared" ref="E156:E169" si="92">IF(C156&gt;0,(((D156-C156)/C156)*100),0)</f>
        <v>4.0202417767781835</v>
      </c>
      <c r="F156" s="249">
        <v>19933.5</v>
      </c>
      <c r="G156" s="249">
        <v>20736.5</v>
      </c>
      <c r="H156" s="437">
        <f t="shared" ref="H156:H171" si="93">IF(F156&gt;0,(((G156-F156)/F156)*100),0)</f>
        <v>4.0283944114179651</v>
      </c>
      <c r="I156" s="249">
        <v>6193</v>
      </c>
      <c r="J156" s="249">
        <v>6551</v>
      </c>
      <c r="K156" s="437">
        <f t="shared" ref="K156:K171" si="94">IF(I156&gt;0,(((J156-I156)/I156)*100),0)</f>
        <v>5.7807201679315359</v>
      </c>
      <c r="L156" s="249">
        <v>19416</v>
      </c>
      <c r="M156" s="249">
        <v>19774</v>
      </c>
      <c r="N156" s="250">
        <f t="shared" ref="N156:N171" si="95">IF(L156&gt;0,(((M156-L156)/L156)*100),0)</f>
        <v>1.8438401318500206</v>
      </c>
      <c r="O156" s="249"/>
      <c r="P156" s="249"/>
      <c r="Q156" s="250">
        <f t="shared" si="78"/>
        <v>0</v>
      </c>
      <c r="R156" s="249"/>
      <c r="S156" s="249"/>
      <c r="T156" s="250">
        <f t="shared" si="79"/>
        <v>0</v>
      </c>
      <c r="U156" s="249"/>
      <c r="V156" s="249"/>
      <c r="W156" s="250">
        <f t="shared" si="80"/>
        <v>0</v>
      </c>
      <c r="X156" s="249"/>
      <c r="Y156" s="249"/>
      <c r="Z156" s="250">
        <f t="shared" si="81"/>
        <v>0</v>
      </c>
      <c r="AA156" s="249"/>
      <c r="AB156" s="249"/>
      <c r="AC156" s="250">
        <f t="shared" si="82"/>
        <v>0</v>
      </c>
      <c r="AD156" s="249"/>
      <c r="AE156" s="249"/>
      <c r="AF156" s="250">
        <f t="shared" si="83"/>
        <v>0</v>
      </c>
      <c r="AG156" s="249"/>
      <c r="AH156" s="249"/>
      <c r="AI156" s="250">
        <f t="shared" si="84"/>
        <v>0</v>
      </c>
      <c r="AJ156" s="249"/>
      <c r="AK156" s="249"/>
      <c r="AL156" s="250">
        <f t="shared" si="85"/>
        <v>0</v>
      </c>
      <c r="AM156" s="249"/>
      <c r="AN156" s="249"/>
      <c r="AO156" s="250">
        <f t="shared" si="86"/>
        <v>0</v>
      </c>
      <c r="AP156" s="249"/>
      <c r="AQ156" s="249"/>
      <c r="AR156" s="250">
        <f t="shared" si="87"/>
        <v>0</v>
      </c>
      <c r="AS156" s="249"/>
      <c r="AT156" s="249"/>
      <c r="AU156" s="250">
        <f t="shared" si="88"/>
        <v>0</v>
      </c>
      <c r="AV156" s="249"/>
      <c r="AW156" s="249"/>
      <c r="AX156" s="250">
        <f t="shared" si="89"/>
        <v>0</v>
      </c>
      <c r="AY156" s="249"/>
      <c r="AZ156" s="249"/>
      <c r="BA156" s="250">
        <f t="shared" si="90"/>
        <v>0</v>
      </c>
      <c r="BB156" s="249"/>
      <c r="BC156" s="249"/>
      <c r="BD156" s="250">
        <f t="shared" si="91"/>
        <v>0</v>
      </c>
    </row>
    <row r="157" spans="1:56">
      <c r="A157" s="251"/>
      <c r="B157" s="259" t="s">
        <v>385</v>
      </c>
      <c r="C157" s="249">
        <v>4215</v>
      </c>
      <c r="D157" s="249">
        <v>4330.5</v>
      </c>
      <c r="E157" s="508">
        <f t="shared" si="92"/>
        <v>2.7402135231316729</v>
      </c>
      <c r="F157" s="249">
        <v>15168</v>
      </c>
      <c r="G157" s="249">
        <v>15517</v>
      </c>
      <c r="H157" s="437">
        <f t="shared" si="93"/>
        <v>2.3008966244725739</v>
      </c>
      <c r="I157" s="249">
        <v>4612.5</v>
      </c>
      <c r="J157" s="249">
        <v>4759</v>
      </c>
      <c r="K157" s="437">
        <f t="shared" si="94"/>
        <v>3.1761517615176151</v>
      </c>
      <c r="L157" s="249">
        <v>15351.5</v>
      </c>
      <c r="M157" s="249">
        <v>15702.5</v>
      </c>
      <c r="N157" s="250">
        <f t="shared" si="95"/>
        <v>2.2864215223268083</v>
      </c>
      <c r="O157" s="249"/>
      <c r="P157" s="249"/>
      <c r="Q157" s="250">
        <f t="shared" si="78"/>
        <v>0</v>
      </c>
      <c r="R157" s="249"/>
      <c r="S157" s="249"/>
      <c r="T157" s="250">
        <f t="shared" si="79"/>
        <v>0</v>
      </c>
      <c r="U157" s="249"/>
      <c r="V157" s="249"/>
      <c r="W157" s="250">
        <f t="shared" si="80"/>
        <v>0</v>
      </c>
      <c r="X157" s="249"/>
      <c r="Y157" s="249"/>
      <c r="Z157" s="250">
        <f t="shared" si="81"/>
        <v>0</v>
      </c>
      <c r="AA157" s="249"/>
      <c r="AB157" s="249"/>
      <c r="AC157" s="250">
        <f t="shared" si="82"/>
        <v>0</v>
      </c>
      <c r="AD157" s="249"/>
      <c r="AE157" s="249"/>
      <c r="AF157" s="250">
        <f t="shared" si="83"/>
        <v>0</v>
      </c>
      <c r="AG157" s="249"/>
      <c r="AH157" s="249"/>
      <c r="AI157" s="250">
        <f t="shared" si="84"/>
        <v>0</v>
      </c>
      <c r="AJ157" s="249"/>
      <c r="AK157" s="249"/>
      <c r="AL157" s="250">
        <f t="shared" si="85"/>
        <v>0</v>
      </c>
      <c r="AM157" s="249"/>
      <c r="AN157" s="249"/>
      <c r="AO157" s="250">
        <f t="shared" si="86"/>
        <v>0</v>
      </c>
      <c r="AP157" s="249"/>
      <c r="AQ157" s="249"/>
      <c r="AR157" s="250">
        <f t="shared" si="87"/>
        <v>0</v>
      </c>
      <c r="AS157" s="249"/>
      <c r="AT157" s="249"/>
      <c r="AU157" s="250">
        <f t="shared" si="88"/>
        <v>0</v>
      </c>
      <c r="AV157" s="249"/>
      <c r="AW157" s="249"/>
      <c r="AX157" s="250">
        <f t="shared" si="89"/>
        <v>0</v>
      </c>
      <c r="AY157" s="249"/>
      <c r="AZ157" s="249"/>
      <c r="BA157" s="250">
        <f t="shared" si="90"/>
        <v>0</v>
      </c>
      <c r="BB157" s="249"/>
      <c r="BC157" s="249"/>
      <c r="BD157" s="250">
        <f t="shared" si="91"/>
        <v>0</v>
      </c>
    </row>
    <row r="158" spans="1:56">
      <c r="A158" s="251"/>
      <c r="B158" s="259" t="s">
        <v>386</v>
      </c>
      <c r="C158" s="249">
        <v>4191</v>
      </c>
      <c r="D158" s="249">
        <v>4403.5</v>
      </c>
      <c r="E158" s="508">
        <f t="shared" si="92"/>
        <v>5.0703889286566453</v>
      </c>
      <c r="F158" s="249">
        <v>14085.5</v>
      </c>
      <c r="G158" s="249">
        <v>14551.5</v>
      </c>
      <c r="H158" s="437">
        <f t="shared" si="93"/>
        <v>3.3083667601434099</v>
      </c>
      <c r="I158" s="249">
        <v>4578.5</v>
      </c>
      <c r="J158" s="249">
        <v>4798.5</v>
      </c>
      <c r="K158" s="437">
        <f t="shared" si="94"/>
        <v>4.8050671617341925</v>
      </c>
      <c r="L158" s="249">
        <v>14358</v>
      </c>
      <c r="M158" s="249">
        <v>15149.5</v>
      </c>
      <c r="N158" s="250">
        <f t="shared" si="95"/>
        <v>5.5126062125644237</v>
      </c>
      <c r="O158" s="249"/>
      <c r="P158" s="249"/>
      <c r="Q158" s="250">
        <f t="shared" si="78"/>
        <v>0</v>
      </c>
      <c r="R158" s="249"/>
      <c r="S158" s="249"/>
      <c r="T158" s="250">
        <f t="shared" si="79"/>
        <v>0</v>
      </c>
      <c r="U158" s="249"/>
      <c r="V158" s="249"/>
      <c r="W158" s="250">
        <f t="shared" si="80"/>
        <v>0</v>
      </c>
      <c r="X158" s="249"/>
      <c r="Y158" s="249"/>
      <c r="Z158" s="250">
        <f t="shared" si="81"/>
        <v>0</v>
      </c>
      <c r="AA158" s="249"/>
      <c r="AB158" s="249"/>
      <c r="AC158" s="250">
        <f t="shared" si="82"/>
        <v>0</v>
      </c>
      <c r="AD158" s="249"/>
      <c r="AE158" s="249"/>
      <c r="AF158" s="250">
        <f t="shared" si="83"/>
        <v>0</v>
      </c>
      <c r="AG158" s="249"/>
      <c r="AH158" s="249"/>
      <c r="AI158" s="250">
        <f t="shared" si="84"/>
        <v>0</v>
      </c>
      <c r="AJ158" s="249"/>
      <c r="AK158" s="249"/>
      <c r="AL158" s="250">
        <f t="shared" si="85"/>
        <v>0</v>
      </c>
      <c r="AM158" s="249"/>
      <c r="AN158" s="249"/>
      <c r="AO158" s="250">
        <f t="shared" si="86"/>
        <v>0</v>
      </c>
      <c r="AP158" s="249"/>
      <c r="AQ158" s="249"/>
      <c r="AR158" s="250">
        <f t="shared" si="87"/>
        <v>0</v>
      </c>
      <c r="AS158" s="249"/>
      <c r="AT158" s="249"/>
      <c r="AU158" s="250">
        <f t="shared" si="88"/>
        <v>0</v>
      </c>
      <c r="AV158" s="249"/>
      <c r="AW158" s="249"/>
      <c r="AX158" s="250">
        <f t="shared" si="89"/>
        <v>0</v>
      </c>
      <c r="AY158" s="249"/>
      <c r="AZ158" s="249"/>
      <c r="BA158" s="250">
        <f t="shared" si="90"/>
        <v>0</v>
      </c>
      <c r="BB158" s="249"/>
      <c r="BC158" s="249"/>
      <c r="BD158" s="250">
        <f t="shared" si="91"/>
        <v>0</v>
      </c>
    </row>
    <row r="159" spans="1:56">
      <c r="A159" s="251"/>
      <c r="B159" s="259" t="s">
        <v>387</v>
      </c>
      <c r="C159" s="249">
        <v>3044</v>
      </c>
      <c r="D159" s="249">
        <v>3177</v>
      </c>
      <c r="E159" s="508">
        <f t="shared" si="92"/>
        <v>4.3692509855453352</v>
      </c>
      <c r="F159" s="249">
        <v>13226</v>
      </c>
      <c r="G159" s="249">
        <v>13520</v>
      </c>
      <c r="H159" s="437">
        <f t="shared" si="93"/>
        <v>2.2228942991078178</v>
      </c>
      <c r="I159" s="249">
        <v>3336</v>
      </c>
      <c r="J159" s="249">
        <v>3527</v>
      </c>
      <c r="K159" s="437">
        <f t="shared" si="94"/>
        <v>5.7254196642685846</v>
      </c>
      <c r="L159" s="249">
        <v>12926</v>
      </c>
      <c r="M159" s="249">
        <v>13214</v>
      </c>
      <c r="N159" s="250">
        <f t="shared" si="95"/>
        <v>2.2280674609314559</v>
      </c>
      <c r="O159" s="249"/>
      <c r="P159" s="249"/>
      <c r="Q159" s="250">
        <f t="shared" si="78"/>
        <v>0</v>
      </c>
      <c r="R159" s="249"/>
      <c r="S159" s="249"/>
      <c r="T159" s="250">
        <f t="shared" si="79"/>
        <v>0</v>
      </c>
      <c r="U159" s="249"/>
      <c r="V159" s="249"/>
      <c r="W159" s="250">
        <f t="shared" si="80"/>
        <v>0</v>
      </c>
      <c r="X159" s="249"/>
      <c r="Y159" s="249"/>
      <c r="Z159" s="250">
        <f t="shared" si="81"/>
        <v>0</v>
      </c>
      <c r="AA159" s="249"/>
      <c r="AB159" s="249"/>
      <c r="AC159" s="250">
        <f t="shared" si="82"/>
        <v>0</v>
      </c>
      <c r="AD159" s="249"/>
      <c r="AE159" s="249"/>
      <c r="AF159" s="250">
        <f t="shared" si="83"/>
        <v>0</v>
      </c>
      <c r="AG159" s="249"/>
      <c r="AH159" s="249"/>
      <c r="AI159" s="250">
        <f t="shared" si="84"/>
        <v>0</v>
      </c>
      <c r="AJ159" s="249"/>
      <c r="AK159" s="249"/>
      <c r="AL159" s="250">
        <f t="shared" si="85"/>
        <v>0</v>
      </c>
      <c r="AM159" s="249"/>
      <c r="AN159" s="249"/>
      <c r="AO159" s="250">
        <f t="shared" si="86"/>
        <v>0</v>
      </c>
      <c r="AP159" s="249"/>
      <c r="AQ159" s="249"/>
      <c r="AR159" s="250">
        <f t="shared" si="87"/>
        <v>0</v>
      </c>
      <c r="AS159" s="249"/>
      <c r="AT159" s="249"/>
      <c r="AU159" s="250">
        <f t="shared" si="88"/>
        <v>0</v>
      </c>
      <c r="AV159" s="249"/>
      <c r="AW159" s="249"/>
      <c r="AX159" s="250">
        <f t="shared" si="89"/>
        <v>0</v>
      </c>
      <c r="AY159" s="249"/>
      <c r="AZ159" s="249"/>
      <c r="BA159" s="250">
        <f t="shared" si="90"/>
        <v>0</v>
      </c>
      <c r="BB159" s="249"/>
      <c r="BC159" s="249"/>
      <c r="BD159" s="250">
        <f t="shared" si="91"/>
        <v>0</v>
      </c>
    </row>
    <row r="160" spans="1:56">
      <c r="A160" s="251"/>
      <c r="B160" s="259" t="s">
        <v>388</v>
      </c>
      <c r="C160" s="249">
        <v>3498.5</v>
      </c>
      <c r="D160" s="249">
        <v>3629</v>
      </c>
      <c r="E160" s="508">
        <f t="shared" si="92"/>
        <v>3.7301700728883809</v>
      </c>
      <c r="F160" s="249">
        <v>12448.5</v>
      </c>
      <c r="G160" s="249">
        <v>12725.5</v>
      </c>
      <c r="H160" s="437">
        <f t="shared" si="93"/>
        <v>2.2251676908864524</v>
      </c>
      <c r="I160" s="249">
        <v>3555</v>
      </c>
      <c r="J160" s="249">
        <v>3698.5</v>
      </c>
      <c r="K160" s="437">
        <f t="shared" si="94"/>
        <v>4.0365682137834034</v>
      </c>
      <c r="L160" s="249">
        <v>12675</v>
      </c>
      <c r="M160" s="249">
        <v>12955</v>
      </c>
      <c r="N160" s="250">
        <f t="shared" si="95"/>
        <v>2.2090729783037477</v>
      </c>
      <c r="O160" s="249"/>
      <c r="P160" s="249"/>
      <c r="Q160" s="250">
        <f t="shared" si="78"/>
        <v>0</v>
      </c>
      <c r="R160" s="249"/>
      <c r="S160" s="249"/>
      <c r="T160" s="250">
        <f t="shared" si="79"/>
        <v>0</v>
      </c>
      <c r="U160" s="249"/>
      <c r="V160" s="249"/>
      <c r="W160" s="250">
        <f t="shared" si="80"/>
        <v>0</v>
      </c>
      <c r="X160" s="249"/>
      <c r="Y160" s="249"/>
      <c r="Z160" s="250">
        <f t="shared" si="81"/>
        <v>0</v>
      </c>
      <c r="AA160" s="249"/>
      <c r="AB160" s="249"/>
      <c r="AC160" s="250">
        <f t="shared" si="82"/>
        <v>0</v>
      </c>
      <c r="AD160" s="249"/>
      <c r="AE160" s="249"/>
      <c r="AF160" s="250">
        <f t="shared" si="83"/>
        <v>0</v>
      </c>
      <c r="AG160" s="249"/>
      <c r="AH160" s="249"/>
      <c r="AI160" s="250">
        <f t="shared" si="84"/>
        <v>0</v>
      </c>
      <c r="AJ160" s="249"/>
      <c r="AK160" s="249"/>
      <c r="AL160" s="250">
        <f t="shared" si="85"/>
        <v>0</v>
      </c>
      <c r="AM160" s="249"/>
      <c r="AN160" s="249"/>
      <c r="AO160" s="250">
        <f t="shared" si="86"/>
        <v>0</v>
      </c>
      <c r="AP160" s="249"/>
      <c r="AQ160" s="249"/>
      <c r="AR160" s="250">
        <f t="shared" si="87"/>
        <v>0</v>
      </c>
      <c r="AS160" s="249"/>
      <c r="AT160" s="249"/>
      <c r="AU160" s="250">
        <f t="shared" si="88"/>
        <v>0</v>
      </c>
      <c r="AV160" s="249"/>
      <c r="AW160" s="249"/>
      <c r="AX160" s="250">
        <f t="shared" si="89"/>
        <v>0</v>
      </c>
      <c r="AY160" s="249"/>
      <c r="AZ160" s="249"/>
      <c r="BA160" s="250">
        <f t="shared" si="90"/>
        <v>0</v>
      </c>
      <c r="BB160" s="249"/>
      <c r="BC160" s="249"/>
      <c r="BD160" s="250">
        <f t="shared" si="91"/>
        <v>0</v>
      </c>
    </row>
    <row r="161" spans="1:56">
      <c r="A161" s="251"/>
      <c r="B161" s="259" t="s">
        <v>389</v>
      </c>
      <c r="C161" s="249">
        <v>3548</v>
      </c>
      <c r="D161" s="249">
        <v>3681</v>
      </c>
      <c r="E161" s="508">
        <f t="shared" si="92"/>
        <v>3.7485907553551292</v>
      </c>
      <c r="F161" s="249">
        <v>13720</v>
      </c>
      <c r="G161" s="249">
        <v>14064</v>
      </c>
      <c r="H161" s="437">
        <f t="shared" si="93"/>
        <v>2.5072886297376091</v>
      </c>
      <c r="I161" s="249">
        <v>3782</v>
      </c>
      <c r="J161" s="249">
        <v>3954</v>
      </c>
      <c r="K161" s="437">
        <f t="shared" si="94"/>
        <v>4.5478582760444208</v>
      </c>
      <c r="L161" s="249">
        <v>13975</v>
      </c>
      <c r="M161" s="249">
        <v>14326</v>
      </c>
      <c r="N161" s="250">
        <f t="shared" si="95"/>
        <v>2.5116279069767442</v>
      </c>
      <c r="O161" s="249"/>
      <c r="P161" s="249"/>
      <c r="Q161" s="250">
        <f t="shared" si="78"/>
        <v>0</v>
      </c>
      <c r="R161" s="249"/>
      <c r="S161" s="249"/>
      <c r="T161" s="250">
        <f t="shared" si="79"/>
        <v>0</v>
      </c>
      <c r="U161" s="249"/>
      <c r="V161" s="249"/>
      <c r="W161" s="250">
        <f t="shared" si="80"/>
        <v>0</v>
      </c>
      <c r="X161" s="249"/>
      <c r="Y161" s="249"/>
      <c r="Z161" s="250">
        <f t="shared" si="81"/>
        <v>0</v>
      </c>
      <c r="AA161" s="249"/>
      <c r="AB161" s="249"/>
      <c r="AC161" s="250">
        <f t="shared" si="82"/>
        <v>0</v>
      </c>
      <c r="AD161" s="249"/>
      <c r="AE161" s="249"/>
      <c r="AF161" s="250">
        <f t="shared" si="83"/>
        <v>0</v>
      </c>
      <c r="AG161" s="249"/>
      <c r="AH161" s="249"/>
      <c r="AI161" s="250">
        <f t="shared" si="84"/>
        <v>0</v>
      </c>
      <c r="AJ161" s="249"/>
      <c r="AK161" s="249"/>
      <c r="AL161" s="250">
        <f t="shared" si="85"/>
        <v>0</v>
      </c>
      <c r="AM161" s="249"/>
      <c r="AN161" s="249"/>
      <c r="AO161" s="250">
        <f t="shared" si="86"/>
        <v>0</v>
      </c>
      <c r="AP161" s="249"/>
      <c r="AQ161" s="249"/>
      <c r="AR161" s="250">
        <f t="shared" si="87"/>
        <v>0</v>
      </c>
      <c r="AS161" s="249"/>
      <c r="AT161" s="249"/>
      <c r="AU161" s="250">
        <f t="shared" si="88"/>
        <v>0</v>
      </c>
      <c r="AV161" s="249"/>
      <c r="AW161" s="249"/>
      <c r="AX161" s="250">
        <f t="shared" si="89"/>
        <v>0</v>
      </c>
      <c r="AY161" s="249"/>
      <c r="AZ161" s="249"/>
      <c r="BA161" s="250">
        <f t="shared" si="90"/>
        <v>0</v>
      </c>
      <c r="BB161" s="249"/>
      <c r="BC161" s="249"/>
      <c r="BD161" s="250">
        <f t="shared" si="91"/>
        <v>0</v>
      </c>
    </row>
    <row r="162" spans="1:56" s="255" customFormat="1" ht="19.5" customHeight="1">
      <c r="A162" s="252"/>
      <c r="B162" s="431" t="s">
        <v>221</v>
      </c>
      <c r="C162" s="425">
        <v>4174</v>
      </c>
      <c r="D162" s="425">
        <v>4330</v>
      </c>
      <c r="E162" s="509">
        <f t="shared" si="92"/>
        <v>3.7374221370388114</v>
      </c>
      <c r="F162" s="425">
        <v>14392</v>
      </c>
      <c r="G162" s="425">
        <v>15039</v>
      </c>
      <c r="H162" s="438">
        <f t="shared" si="93"/>
        <v>4.4955530850472485</v>
      </c>
      <c r="I162" s="425">
        <v>4527</v>
      </c>
      <c r="J162" s="425">
        <v>4688</v>
      </c>
      <c r="K162" s="438">
        <f t="shared" si="94"/>
        <v>3.5564391429202562</v>
      </c>
      <c r="L162" s="425">
        <v>14641</v>
      </c>
      <c r="M162" s="425">
        <v>15237</v>
      </c>
      <c r="N162" s="421">
        <f t="shared" si="95"/>
        <v>4.0707601939758211</v>
      </c>
      <c r="O162" s="425"/>
      <c r="P162" s="425"/>
      <c r="Q162" s="421">
        <f t="shared" si="78"/>
        <v>0</v>
      </c>
      <c r="R162" s="425"/>
      <c r="S162" s="425"/>
      <c r="T162" s="421">
        <f t="shared" si="79"/>
        <v>0</v>
      </c>
      <c r="U162" s="425"/>
      <c r="V162" s="425"/>
      <c r="W162" s="421">
        <f t="shared" si="80"/>
        <v>0</v>
      </c>
      <c r="X162" s="425"/>
      <c r="Y162" s="425"/>
      <c r="Z162" s="421">
        <f t="shared" si="81"/>
        <v>0</v>
      </c>
      <c r="AA162" s="425"/>
      <c r="AB162" s="425"/>
      <c r="AC162" s="421">
        <f t="shared" si="82"/>
        <v>0</v>
      </c>
      <c r="AD162" s="425"/>
      <c r="AE162" s="425"/>
      <c r="AF162" s="421">
        <f t="shared" si="83"/>
        <v>0</v>
      </c>
      <c r="AG162" s="425"/>
      <c r="AH162" s="425"/>
      <c r="AI162" s="421">
        <f t="shared" si="84"/>
        <v>0</v>
      </c>
      <c r="AJ162" s="425"/>
      <c r="AK162" s="425"/>
      <c r="AL162" s="421">
        <f t="shared" si="85"/>
        <v>0</v>
      </c>
      <c r="AM162" s="425"/>
      <c r="AN162" s="425"/>
      <c r="AO162" s="421">
        <f t="shared" si="86"/>
        <v>0</v>
      </c>
      <c r="AP162" s="425"/>
      <c r="AQ162" s="425"/>
      <c r="AR162" s="421">
        <f t="shared" si="87"/>
        <v>0</v>
      </c>
      <c r="AS162" s="425"/>
      <c r="AT162" s="425"/>
      <c r="AU162" s="421">
        <f t="shared" si="88"/>
        <v>0</v>
      </c>
      <c r="AV162" s="425"/>
      <c r="AW162" s="425"/>
      <c r="AX162" s="421">
        <f t="shared" si="89"/>
        <v>0</v>
      </c>
      <c r="AY162" s="425"/>
      <c r="AZ162" s="425"/>
      <c r="BA162" s="421">
        <f t="shared" si="90"/>
        <v>0</v>
      </c>
      <c r="BB162" s="425"/>
      <c r="BC162" s="425"/>
      <c r="BD162" s="421">
        <f t="shared" si="91"/>
        <v>0</v>
      </c>
    </row>
    <row r="163" spans="1:56">
      <c r="A163" s="251"/>
      <c r="B163" s="259" t="s">
        <v>390</v>
      </c>
      <c r="C163" s="249"/>
      <c r="D163" s="249"/>
      <c r="E163" s="508">
        <f t="shared" si="92"/>
        <v>0</v>
      </c>
      <c r="F163" s="249"/>
      <c r="G163" s="249"/>
      <c r="H163" s="437">
        <f t="shared" si="93"/>
        <v>0</v>
      </c>
      <c r="I163" s="249"/>
      <c r="J163" s="249"/>
      <c r="K163" s="437">
        <f t="shared" si="94"/>
        <v>0</v>
      </c>
      <c r="L163" s="249"/>
      <c r="M163" s="249"/>
      <c r="N163" s="250">
        <f t="shared" si="95"/>
        <v>0</v>
      </c>
      <c r="O163" s="249"/>
      <c r="P163" s="249"/>
      <c r="Q163" s="250">
        <f t="shared" si="78"/>
        <v>0</v>
      </c>
      <c r="R163" s="249"/>
      <c r="S163" s="249"/>
      <c r="T163" s="250">
        <f t="shared" si="79"/>
        <v>0</v>
      </c>
      <c r="U163" s="249"/>
      <c r="V163" s="249"/>
      <c r="W163" s="250">
        <f t="shared" si="80"/>
        <v>0</v>
      </c>
      <c r="X163" s="249"/>
      <c r="Y163" s="249"/>
      <c r="Z163" s="250">
        <f t="shared" si="81"/>
        <v>0</v>
      </c>
      <c r="AA163" s="249"/>
      <c r="AB163" s="249"/>
      <c r="AC163" s="250">
        <f t="shared" si="82"/>
        <v>0</v>
      </c>
      <c r="AD163" s="249"/>
      <c r="AE163" s="249"/>
      <c r="AF163" s="250">
        <f t="shared" si="83"/>
        <v>0</v>
      </c>
      <c r="AG163" s="249"/>
      <c r="AH163" s="249"/>
      <c r="AI163" s="250">
        <f t="shared" si="84"/>
        <v>0</v>
      </c>
      <c r="AJ163" s="249"/>
      <c r="AK163" s="249"/>
      <c r="AL163" s="250">
        <f t="shared" si="85"/>
        <v>0</v>
      </c>
      <c r="AM163" s="249"/>
      <c r="AN163" s="249"/>
      <c r="AO163" s="250">
        <f t="shared" si="86"/>
        <v>0</v>
      </c>
      <c r="AP163" s="249"/>
      <c r="AQ163" s="249"/>
      <c r="AR163" s="250">
        <f t="shared" si="87"/>
        <v>0</v>
      </c>
      <c r="AS163" s="249"/>
      <c r="AT163" s="249"/>
      <c r="AU163" s="250">
        <f t="shared" si="88"/>
        <v>0</v>
      </c>
      <c r="AV163" s="249"/>
      <c r="AW163" s="249"/>
      <c r="AX163" s="250">
        <f t="shared" si="89"/>
        <v>0</v>
      </c>
      <c r="AY163" s="249"/>
      <c r="AZ163" s="249"/>
      <c r="BA163" s="250">
        <f t="shared" si="90"/>
        <v>0</v>
      </c>
      <c r="BB163" s="249"/>
      <c r="BC163" s="249"/>
      <c r="BD163" s="250">
        <f t="shared" si="91"/>
        <v>0</v>
      </c>
    </row>
    <row r="164" spans="1:56">
      <c r="A164" s="251"/>
      <c r="B164" s="259" t="s">
        <v>391</v>
      </c>
      <c r="C164" s="249">
        <v>1431</v>
      </c>
      <c r="D164" s="249">
        <v>1684</v>
      </c>
      <c r="E164" s="508">
        <f t="shared" si="92"/>
        <v>17.679944095038437</v>
      </c>
      <c r="F164" s="249">
        <v>7553</v>
      </c>
      <c r="G164" s="249">
        <v>7805.6</v>
      </c>
      <c r="H164" s="437">
        <f t="shared" si="93"/>
        <v>3.3443664768966022</v>
      </c>
      <c r="I164" s="249"/>
      <c r="J164" s="249"/>
      <c r="K164" s="437">
        <f t="shared" si="94"/>
        <v>0</v>
      </c>
      <c r="L164" s="249"/>
      <c r="M164" s="249"/>
      <c r="N164" s="250">
        <f t="shared" si="95"/>
        <v>0</v>
      </c>
      <c r="O164" s="249"/>
      <c r="P164" s="249"/>
      <c r="Q164" s="250">
        <f t="shared" si="78"/>
        <v>0</v>
      </c>
      <c r="R164" s="249"/>
      <c r="S164" s="249"/>
      <c r="T164" s="250">
        <f t="shared" si="79"/>
        <v>0</v>
      </c>
      <c r="U164" s="249"/>
      <c r="V164" s="249"/>
      <c r="W164" s="250">
        <f t="shared" si="80"/>
        <v>0</v>
      </c>
      <c r="X164" s="249"/>
      <c r="Y164" s="249"/>
      <c r="Z164" s="250">
        <f t="shared" si="81"/>
        <v>0</v>
      </c>
      <c r="AA164" s="249"/>
      <c r="AB164" s="249"/>
      <c r="AC164" s="250">
        <f t="shared" si="82"/>
        <v>0</v>
      </c>
      <c r="AD164" s="249"/>
      <c r="AE164" s="249"/>
      <c r="AF164" s="250">
        <f t="shared" si="83"/>
        <v>0</v>
      </c>
      <c r="AG164" s="249"/>
      <c r="AH164" s="249"/>
      <c r="AI164" s="250">
        <f t="shared" si="84"/>
        <v>0</v>
      </c>
      <c r="AJ164" s="249"/>
      <c r="AK164" s="249"/>
      <c r="AL164" s="250">
        <f t="shared" si="85"/>
        <v>0</v>
      </c>
      <c r="AM164" s="249"/>
      <c r="AN164" s="249"/>
      <c r="AO164" s="250">
        <f t="shared" si="86"/>
        <v>0</v>
      </c>
      <c r="AP164" s="249"/>
      <c r="AQ164" s="249"/>
      <c r="AR164" s="250">
        <f t="shared" si="87"/>
        <v>0</v>
      </c>
      <c r="AS164" s="249"/>
      <c r="AT164" s="249"/>
      <c r="AU164" s="250">
        <f t="shared" si="88"/>
        <v>0</v>
      </c>
      <c r="AV164" s="249"/>
      <c r="AW164" s="249"/>
      <c r="AX164" s="250">
        <f t="shared" si="89"/>
        <v>0</v>
      </c>
      <c r="AY164" s="249"/>
      <c r="AZ164" s="249"/>
      <c r="BA164" s="250">
        <f t="shared" si="90"/>
        <v>0</v>
      </c>
      <c r="BB164" s="249"/>
      <c r="BC164" s="249"/>
      <c r="BD164" s="250">
        <f t="shared" si="91"/>
        <v>0</v>
      </c>
    </row>
    <row r="165" spans="1:56">
      <c r="A165" s="251"/>
      <c r="B165" s="259" t="s">
        <v>392</v>
      </c>
      <c r="C165" s="249">
        <v>1424</v>
      </c>
      <c r="D165" s="249">
        <v>1690</v>
      </c>
      <c r="E165" s="508">
        <f t="shared" si="92"/>
        <v>18.679775280898877</v>
      </c>
      <c r="F165" s="249">
        <v>7545.4</v>
      </c>
      <c r="G165" s="249">
        <v>7811.6</v>
      </c>
      <c r="H165" s="437">
        <f t="shared" si="93"/>
        <v>3.5279773106793644</v>
      </c>
      <c r="I165" s="249"/>
      <c r="J165" s="249"/>
      <c r="K165" s="437">
        <f t="shared" si="94"/>
        <v>0</v>
      </c>
      <c r="L165" s="249"/>
      <c r="M165" s="249"/>
      <c r="N165" s="250">
        <f t="shared" si="95"/>
        <v>0</v>
      </c>
      <c r="O165" s="249"/>
      <c r="P165" s="249"/>
      <c r="Q165" s="250">
        <f t="shared" si="78"/>
        <v>0</v>
      </c>
      <c r="R165" s="249"/>
      <c r="S165" s="249"/>
      <c r="T165" s="250">
        <f t="shared" si="79"/>
        <v>0</v>
      </c>
      <c r="U165" s="249"/>
      <c r="V165" s="249"/>
      <c r="W165" s="250">
        <f t="shared" si="80"/>
        <v>0</v>
      </c>
      <c r="X165" s="249"/>
      <c r="Y165" s="249"/>
      <c r="Z165" s="250">
        <f t="shared" si="81"/>
        <v>0</v>
      </c>
      <c r="AA165" s="249"/>
      <c r="AB165" s="249"/>
      <c r="AC165" s="250">
        <f t="shared" si="82"/>
        <v>0</v>
      </c>
      <c r="AD165" s="249"/>
      <c r="AE165" s="249"/>
      <c r="AF165" s="250">
        <f t="shared" si="83"/>
        <v>0</v>
      </c>
      <c r="AG165" s="249"/>
      <c r="AH165" s="249"/>
      <c r="AI165" s="250">
        <f t="shared" si="84"/>
        <v>0</v>
      </c>
      <c r="AJ165" s="249"/>
      <c r="AK165" s="249"/>
      <c r="AL165" s="250">
        <f t="shared" si="85"/>
        <v>0</v>
      </c>
      <c r="AM165" s="249"/>
      <c r="AN165" s="249"/>
      <c r="AO165" s="250">
        <f t="shared" si="86"/>
        <v>0</v>
      </c>
      <c r="AP165" s="249"/>
      <c r="AQ165" s="249"/>
      <c r="AR165" s="250">
        <f t="shared" si="87"/>
        <v>0</v>
      </c>
      <c r="AS165" s="249"/>
      <c r="AT165" s="249"/>
      <c r="AU165" s="250">
        <f t="shared" si="88"/>
        <v>0</v>
      </c>
      <c r="AV165" s="249"/>
      <c r="AW165" s="249"/>
      <c r="AX165" s="250">
        <f t="shared" si="89"/>
        <v>0</v>
      </c>
      <c r="AY165" s="249"/>
      <c r="AZ165" s="249"/>
      <c r="BA165" s="250">
        <f t="shared" si="90"/>
        <v>0</v>
      </c>
      <c r="BB165" s="249"/>
      <c r="BC165" s="249"/>
      <c r="BD165" s="250">
        <f t="shared" si="91"/>
        <v>0</v>
      </c>
    </row>
    <row r="166" spans="1:56">
      <c r="A166" s="251"/>
      <c r="B166" s="259" t="s">
        <v>196</v>
      </c>
      <c r="C166" s="249">
        <v>1414</v>
      </c>
      <c r="D166" s="249">
        <v>1668</v>
      </c>
      <c r="E166" s="508">
        <f t="shared" si="92"/>
        <v>17.963224893917964</v>
      </c>
      <c r="F166" s="249">
        <v>7536</v>
      </c>
      <c r="G166" s="249">
        <v>7789.6</v>
      </c>
      <c r="H166" s="437">
        <f t="shared" si="93"/>
        <v>3.3651804670912999</v>
      </c>
      <c r="I166" s="249"/>
      <c r="J166" s="249"/>
      <c r="K166" s="437">
        <f t="shared" si="94"/>
        <v>0</v>
      </c>
      <c r="L166" s="249"/>
      <c r="M166" s="249"/>
      <c r="N166" s="250">
        <f t="shared" si="95"/>
        <v>0</v>
      </c>
      <c r="O166" s="249"/>
      <c r="P166" s="249"/>
      <c r="Q166" s="250">
        <f t="shared" si="78"/>
        <v>0</v>
      </c>
      <c r="R166" s="249"/>
      <c r="S166" s="249"/>
      <c r="T166" s="250">
        <f t="shared" si="79"/>
        <v>0</v>
      </c>
      <c r="U166" s="249"/>
      <c r="V166" s="249"/>
      <c r="W166" s="250">
        <f t="shared" si="80"/>
        <v>0</v>
      </c>
      <c r="X166" s="249"/>
      <c r="Y166" s="249"/>
      <c r="Z166" s="250">
        <f t="shared" si="81"/>
        <v>0</v>
      </c>
      <c r="AA166" s="249"/>
      <c r="AB166" s="249"/>
      <c r="AC166" s="250">
        <f t="shared" si="82"/>
        <v>0</v>
      </c>
      <c r="AD166" s="249"/>
      <c r="AE166" s="249"/>
      <c r="AF166" s="250">
        <f t="shared" si="83"/>
        <v>0</v>
      </c>
      <c r="AG166" s="249"/>
      <c r="AH166" s="249"/>
      <c r="AI166" s="250">
        <f t="shared" si="84"/>
        <v>0</v>
      </c>
      <c r="AJ166" s="249"/>
      <c r="AK166" s="249"/>
      <c r="AL166" s="250">
        <f t="shared" si="85"/>
        <v>0</v>
      </c>
      <c r="AM166" s="249"/>
      <c r="AN166" s="249"/>
      <c r="AO166" s="250">
        <f t="shared" si="86"/>
        <v>0</v>
      </c>
      <c r="AP166" s="249"/>
      <c r="AQ166" s="249"/>
      <c r="AR166" s="250">
        <f t="shared" si="87"/>
        <v>0</v>
      </c>
      <c r="AS166" s="249"/>
      <c r="AT166" s="249"/>
      <c r="AU166" s="250">
        <f t="shared" si="88"/>
        <v>0</v>
      </c>
      <c r="AV166" s="249"/>
      <c r="AW166" s="249"/>
      <c r="AX166" s="250">
        <f t="shared" si="89"/>
        <v>0</v>
      </c>
      <c r="AY166" s="249"/>
      <c r="AZ166" s="249"/>
      <c r="BA166" s="250">
        <f t="shared" si="90"/>
        <v>0</v>
      </c>
      <c r="BB166" s="249"/>
      <c r="BC166" s="249"/>
      <c r="BD166" s="250">
        <f t="shared" si="91"/>
        <v>0</v>
      </c>
    </row>
    <row r="167" spans="1:56" s="255" customFormat="1" ht="20.25" customHeight="1">
      <c r="A167" s="252"/>
      <c r="B167" s="431" t="s">
        <v>550</v>
      </c>
      <c r="C167" s="425">
        <v>1424</v>
      </c>
      <c r="D167" s="425">
        <v>1682</v>
      </c>
      <c r="E167" s="509">
        <f t="shared" si="92"/>
        <v>18.117977528089888</v>
      </c>
      <c r="F167" s="425">
        <v>7546.7</v>
      </c>
      <c r="G167" s="425">
        <v>7803.6</v>
      </c>
      <c r="H167" s="438">
        <f t="shared" si="93"/>
        <v>3.404136907522501</v>
      </c>
      <c r="I167" s="425"/>
      <c r="J167" s="425"/>
      <c r="K167" s="438">
        <f t="shared" si="94"/>
        <v>0</v>
      </c>
      <c r="L167" s="425"/>
      <c r="M167" s="425"/>
      <c r="N167" s="421">
        <f t="shared" si="95"/>
        <v>0</v>
      </c>
      <c r="O167" s="425"/>
      <c r="P167" s="425"/>
      <c r="Q167" s="421">
        <f t="shared" si="78"/>
        <v>0</v>
      </c>
      <c r="R167" s="425"/>
      <c r="S167" s="425"/>
      <c r="T167" s="421">
        <f t="shared" si="79"/>
        <v>0</v>
      </c>
      <c r="U167" s="425"/>
      <c r="V167" s="425"/>
      <c r="W167" s="421">
        <f t="shared" si="80"/>
        <v>0</v>
      </c>
      <c r="X167" s="425"/>
      <c r="Y167" s="425"/>
      <c r="Z167" s="421">
        <f t="shared" si="81"/>
        <v>0</v>
      </c>
      <c r="AA167" s="425"/>
      <c r="AB167" s="425"/>
      <c r="AC167" s="421">
        <f t="shared" si="82"/>
        <v>0</v>
      </c>
      <c r="AD167" s="425"/>
      <c r="AE167" s="425"/>
      <c r="AF167" s="421">
        <f t="shared" si="83"/>
        <v>0</v>
      </c>
      <c r="AG167" s="425"/>
      <c r="AH167" s="425"/>
      <c r="AI167" s="421">
        <f t="shared" si="84"/>
        <v>0</v>
      </c>
      <c r="AJ167" s="425"/>
      <c r="AK167" s="425"/>
      <c r="AL167" s="421">
        <f t="shared" si="85"/>
        <v>0</v>
      </c>
      <c r="AM167" s="425"/>
      <c r="AN167" s="425"/>
      <c r="AO167" s="421">
        <f t="shared" si="86"/>
        <v>0</v>
      </c>
      <c r="AP167" s="425"/>
      <c r="AQ167" s="425"/>
      <c r="AR167" s="421">
        <f t="shared" si="87"/>
        <v>0</v>
      </c>
      <c r="AS167" s="425"/>
      <c r="AT167" s="425"/>
      <c r="AU167" s="421">
        <f t="shared" si="88"/>
        <v>0</v>
      </c>
      <c r="AV167" s="425"/>
      <c r="AW167" s="425"/>
      <c r="AX167" s="421">
        <f t="shared" si="89"/>
        <v>0</v>
      </c>
      <c r="AY167" s="425"/>
      <c r="AZ167" s="425"/>
      <c r="BA167" s="421">
        <f t="shared" si="90"/>
        <v>0</v>
      </c>
      <c r="BB167" s="425"/>
      <c r="BC167" s="425"/>
      <c r="BD167" s="421">
        <f t="shared" si="91"/>
        <v>0</v>
      </c>
    </row>
    <row r="168" spans="1:56">
      <c r="A168" s="251"/>
      <c r="B168" s="259" t="s">
        <v>197</v>
      </c>
      <c r="C168" s="249"/>
      <c r="D168" s="249"/>
      <c r="E168" s="508">
        <f t="shared" si="92"/>
        <v>0</v>
      </c>
      <c r="F168" s="249"/>
      <c r="G168" s="249"/>
      <c r="H168" s="437">
        <f t="shared" si="93"/>
        <v>0</v>
      </c>
      <c r="I168" s="249"/>
      <c r="J168" s="249"/>
      <c r="K168" s="437">
        <f t="shared" si="94"/>
        <v>0</v>
      </c>
      <c r="L168" s="249"/>
      <c r="M168" s="249"/>
      <c r="N168" s="250">
        <f t="shared" si="95"/>
        <v>0</v>
      </c>
      <c r="O168" s="249"/>
      <c r="P168" s="249"/>
      <c r="Q168" s="250">
        <f t="shared" si="78"/>
        <v>0</v>
      </c>
      <c r="R168" s="249"/>
      <c r="S168" s="249"/>
      <c r="T168" s="250">
        <f t="shared" si="79"/>
        <v>0</v>
      </c>
      <c r="U168" s="249"/>
      <c r="V168" s="249"/>
      <c r="W168" s="250">
        <f t="shared" si="80"/>
        <v>0</v>
      </c>
      <c r="X168" s="249"/>
      <c r="Y168" s="249"/>
      <c r="Z168" s="250">
        <f t="shared" si="81"/>
        <v>0</v>
      </c>
      <c r="AA168" s="249"/>
      <c r="AB168" s="249"/>
      <c r="AC168" s="250">
        <f t="shared" si="82"/>
        <v>0</v>
      </c>
      <c r="AD168" s="249"/>
      <c r="AE168" s="249"/>
      <c r="AF168" s="250">
        <f t="shared" si="83"/>
        <v>0</v>
      </c>
      <c r="AG168" s="249"/>
      <c r="AH168" s="249"/>
      <c r="AI168" s="250">
        <f t="shared" si="84"/>
        <v>0</v>
      </c>
      <c r="AJ168" s="249"/>
      <c r="AK168" s="249"/>
      <c r="AL168" s="250">
        <f t="shared" si="85"/>
        <v>0</v>
      </c>
      <c r="AM168" s="249"/>
      <c r="AN168" s="249"/>
      <c r="AO168" s="250">
        <f t="shared" si="86"/>
        <v>0</v>
      </c>
      <c r="AP168" s="249"/>
      <c r="AQ168" s="249"/>
      <c r="AR168" s="250">
        <f t="shared" si="87"/>
        <v>0</v>
      </c>
      <c r="AS168" s="249"/>
      <c r="AT168" s="249"/>
      <c r="AU168" s="250">
        <f t="shared" si="88"/>
        <v>0</v>
      </c>
      <c r="AV168" s="249"/>
      <c r="AW168" s="249"/>
      <c r="AX168" s="250">
        <f t="shared" si="89"/>
        <v>0</v>
      </c>
      <c r="AY168" s="249"/>
      <c r="AZ168" s="249"/>
      <c r="BA168" s="250">
        <f t="shared" si="90"/>
        <v>0</v>
      </c>
      <c r="BB168" s="249"/>
      <c r="BC168" s="249"/>
      <c r="BD168" s="250">
        <f t="shared" si="91"/>
        <v>0</v>
      </c>
    </row>
    <row r="169" spans="1:56">
      <c r="A169" s="251"/>
      <c r="B169" s="259" t="s">
        <v>326</v>
      </c>
      <c r="C169" s="249"/>
      <c r="D169" s="249"/>
      <c r="E169" s="508">
        <f t="shared" si="92"/>
        <v>0</v>
      </c>
      <c r="F169" s="249"/>
      <c r="G169" s="249"/>
      <c r="H169" s="437">
        <f t="shared" si="93"/>
        <v>0</v>
      </c>
      <c r="I169" s="249"/>
      <c r="J169" s="249"/>
      <c r="K169" s="437">
        <f t="shared" si="94"/>
        <v>0</v>
      </c>
      <c r="L169" s="249"/>
      <c r="M169" s="249"/>
      <c r="N169" s="250">
        <f t="shared" si="95"/>
        <v>0</v>
      </c>
      <c r="O169" s="249"/>
      <c r="P169" s="249"/>
      <c r="Q169" s="250">
        <f t="shared" si="78"/>
        <v>0</v>
      </c>
      <c r="R169" s="249"/>
      <c r="S169" s="249"/>
      <c r="T169" s="250">
        <f t="shared" si="79"/>
        <v>0</v>
      </c>
      <c r="U169" s="249"/>
      <c r="V169" s="249"/>
      <c r="W169" s="250">
        <f t="shared" si="80"/>
        <v>0</v>
      </c>
      <c r="X169" s="249"/>
      <c r="Y169" s="249"/>
      <c r="Z169" s="250">
        <f t="shared" si="81"/>
        <v>0</v>
      </c>
      <c r="AA169" s="249"/>
      <c r="AB169" s="249"/>
      <c r="AC169" s="250">
        <f t="shared" si="82"/>
        <v>0</v>
      </c>
      <c r="AD169" s="249"/>
      <c r="AE169" s="249"/>
      <c r="AF169" s="250">
        <f t="shared" si="83"/>
        <v>0</v>
      </c>
      <c r="AG169" s="249"/>
      <c r="AH169" s="249"/>
      <c r="AI169" s="250">
        <f t="shared" si="84"/>
        <v>0</v>
      </c>
      <c r="AJ169" s="249"/>
      <c r="AK169" s="249"/>
      <c r="AL169" s="250">
        <f t="shared" si="85"/>
        <v>0</v>
      </c>
      <c r="AM169" s="249"/>
      <c r="AN169" s="249"/>
      <c r="AO169" s="250">
        <f t="shared" si="86"/>
        <v>0</v>
      </c>
      <c r="AP169" s="249"/>
      <c r="AQ169" s="249"/>
      <c r="AR169" s="250">
        <f t="shared" si="87"/>
        <v>0</v>
      </c>
      <c r="AS169" s="249"/>
      <c r="AT169" s="249"/>
      <c r="AU169" s="250">
        <f t="shared" si="88"/>
        <v>0</v>
      </c>
      <c r="AV169" s="249"/>
      <c r="AW169" s="249"/>
      <c r="AX169" s="250">
        <f t="shared" si="89"/>
        <v>0</v>
      </c>
      <c r="AY169" s="249"/>
      <c r="AZ169" s="249"/>
      <c r="BA169" s="250">
        <f t="shared" si="90"/>
        <v>0</v>
      </c>
      <c r="BB169" s="249"/>
      <c r="BC169" s="249"/>
      <c r="BD169" s="250">
        <f t="shared" si="91"/>
        <v>0</v>
      </c>
    </row>
    <row r="170" spans="1:56">
      <c r="A170" s="251"/>
      <c r="B170" s="259" t="s">
        <v>327</v>
      </c>
      <c r="C170" s="249"/>
      <c r="D170" s="249"/>
      <c r="E170" s="508"/>
      <c r="F170" s="249"/>
      <c r="G170" s="249"/>
      <c r="H170" s="437">
        <f t="shared" si="93"/>
        <v>0</v>
      </c>
      <c r="I170" s="249"/>
      <c r="J170" s="249"/>
      <c r="K170" s="437">
        <f t="shared" si="94"/>
        <v>0</v>
      </c>
      <c r="L170" s="249"/>
      <c r="M170" s="249"/>
      <c r="N170" s="250">
        <f t="shared" si="95"/>
        <v>0</v>
      </c>
      <c r="O170" s="249"/>
      <c r="P170" s="249"/>
      <c r="Q170" s="250">
        <f t="shared" si="78"/>
        <v>0</v>
      </c>
      <c r="R170" s="249"/>
      <c r="S170" s="249"/>
      <c r="T170" s="250">
        <f t="shared" si="79"/>
        <v>0</v>
      </c>
      <c r="U170" s="249"/>
      <c r="V170" s="249"/>
      <c r="W170" s="250">
        <f t="shared" si="80"/>
        <v>0</v>
      </c>
      <c r="X170" s="249"/>
      <c r="Y170" s="249"/>
      <c r="Z170" s="250">
        <f t="shared" si="81"/>
        <v>0</v>
      </c>
      <c r="AA170" s="249"/>
      <c r="AB170" s="249"/>
      <c r="AC170" s="250">
        <f t="shared" si="82"/>
        <v>0</v>
      </c>
      <c r="AD170" s="249"/>
      <c r="AE170" s="249"/>
      <c r="AF170" s="250">
        <f t="shared" si="83"/>
        <v>0</v>
      </c>
      <c r="AG170" s="249"/>
      <c r="AH170" s="249"/>
      <c r="AI170" s="250">
        <f t="shared" si="84"/>
        <v>0</v>
      </c>
      <c r="AJ170" s="249"/>
      <c r="AK170" s="249"/>
      <c r="AL170" s="250">
        <f t="shared" si="85"/>
        <v>0</v>
      </c>
      <c r="AM170" s="249"/>
      <c r="AN170" s="249"/>
      <c r="AO170" s="250">
        <f t="shared" si="86"/>
        <v>0</v>
      </c>
      <c r="AP170" s="249"/>
      <c r="AQ170" s="249"/>
      <c r="AR170" s="250">
        <f t="shared" si="87"/>
        <v>0</v>
      </c>
      <c r="AS170" s="249"/>
      <c r="AT170" s="249"/>
      <c r="AU170" s="250">
        <f t="shared" si="88"/>
        <v>0</v>
      </c>
      <c r="AV170" s="249"/>
      <c r="AW170" s="249"/>
      <c r="AX170" s="250">
        <f t="shared" si="89"/>
        <v>0</v>
      </c>
      <c r="AY170" s="249"/>
      <c r="AZ170" s="249"/>
      <c r="BA170" s="250">
        <f t="shared" si="90"/>
        <v>0</v>
      </c>
      <c r="BB170" s="249"/>
      <c r="BC170" s="249"/>
      <c r="BD170" s="250">
        <f t="shared" si="91"/>
        <v>0</v>
      </c>
    </row>
    <row r="171" spans="1:56" s="255" customFormat="1" ht="21.75" customHeight="1">
      <c r="A171" s="252"/>
      <c r="B171" s="427" t="s">
        <v>315</v>
      </c>
      <c r="C171" s="253"/>
      <c r="D171" s="253"/>
      <c r="E171" s="511">
        <f>IF(C171&gt;0,(((D171-C171)/C171)*100),0)</f>
        <v>0</v>
      </c>
      <c r="F171" s="253"/>
      <c r="G171" s="253"/>
      <c r="H171" s="440">
        <f t="shared" si="93"/>
        <v>0</v>
      </c>
      <c r="I171" s="253"/>
      <c r="J171" s="253"/>
      <c r="K171" s="440">
        <f t="shared" si="94"/>
        <v>0</v>
      </c>
      <c r="L171" s="253"/>
      <c r="M171" s="253"/>
      <c r="N171" s="254">
        <f t="shared" si="95"/>
        <v>0</v>
      </c>
      <c r="O171" s="253"/>
      <c r="P171" s="253"/>
      <c r="Q171" s="254">
        <f t="shared" si="78"/>
        <v>0</v>
      </c>
      <c r="R171" s="253"/>
      <c r="S171" s="253"/>
      <c r="T171" s="254">
        <f t="shared" si="79"/>
        <v>0</v>
      </c>
      <c r="U171" s="253"/>
      <c r="V171" s="253"/>
      <c r="W171" s="254">
        <f t="shared" si="80"/>
        <v>0</v>
      </c>
      <c r="X171" s="253"/>
      <c r="Y171" s="253"/>
      <c r="Z171" s="254">
        <f t="shared" si="81"/>
        <v>0</v>
      </c>
      <c r="AA171" s="253"/>
      <c r="AB171" s="253"/>
      <c r="AC171" s="254">
        <f t="shared" si="82"/>
        <v>0</v>
      </c>
      <c r="AD171" s="253"/>
      <c r="AE171" s="253"/>
      <c r="AF171" s="254">
        <f t="shared" si="83"/>
        <v>0</v>
      </c>
      <c r="AG171" s="253"/>
      <c r="AH171" s="253"/>
      <c r="AI171" s="254">
        <f t="shared" si="84"/>
        <v>0</v>
      </c>
      <c r="AJ171" s="253"/>
      <c r="AK171" s="253"/>
      <c r="AL171" s="254">
        <f t="shared" si="85"/>
        <v>0</v>
      </c>
      <c r="AM171" s="253"/>
      <c r="AN171" s="253"/>
      <c r="AO171" s="254">
        <f t="shared" si="86"/>
        <v>0</v>
      </c>
      <c r="AP171" s="253"/>
      <c r="AQ171" s="253"/>
      <c r="AR171" s="254">
        <f t="shared" si="87"/>
        <v>0</v>
      </c>
      <c r="AS171" s="253"/>
      <c r="AT171" s="253"/>
      <c r="AU171" s="254">
        <f t="shared" si="88"/>
        <v>0</v>
      </c>
      <c r="AV171" s="253"/>
      <c r="AW171" s="253"/>
      <c r="AX171" s="254">
        <f t="shared" si="89"/>
        <v>0</v>
      </c>
      <c r="AY171" s="253"/>
      <c r="AZ171" s="253"/>
      <c r="BA171" s="254">
        <f t="shared" si="90"/>
        <v>0</v>
      </c>
      <c r="BB171" s="253"/>
      <c r="BC171" s="253"/>
      <c r="BD171" s="254">
        <f t="shared" si="91"/>
        <v>0</v>
      </c>
    </row>
    <row r="172" spans="1:56">
      <c r="A172" s="256"/>
      <c r="B172" s="428" t="s">
        <v>198</v>
      </c>
      <c r="C172" s="257"/>
      <c r="D172" s="257"/>
      <c r="E172" s="510"/>
      <c r="F172" s="257"/>
      <c r="G172" s="257"/>
      <c r="H172" s="439"/>
      <c r="I172" s="257"/>
      <c r="J172" s="257"/>
      <c r="K172" s="439"/>
      <c r="L172" s="257"/>
      <c r="M172" s="257"/>
      <c r="N172" s="258"/>
      <c r="O172" s="257">
        <v>10663</v>
      </c>
      <c r="P172" s="257">
        <v>11797.5</v>
      </c>
      <c r="Q172" s="258">
        <f t="shared" si="78"/>
        <v>10.639594860733377</v>
      </c>
      <c r="R172" s="257">
        <v>23122</v>
      </c>
      <c r="S172" s="257">
        <v>24825.5</v>
      </c>
      <c r="T172" s="258">
        <f t="shared" si="79"/>
        <v>7.3674422627800356</v>
      </c>
      <c r="U172" s="257">
        <v>10965.5</v>
      </c>
      <c r="V172" s="257">
        <v>11852</v>
      </c>
      <c r="W172" s="258">
        <f t="shared" si="80"/>
        <v>8.0844466736582916</v>
      </c>
      <c r="X172" s="257">
        <v>35493.5</v>
      </c>
      <c r="Y172" s="257">
        <v>37426</v>
      </c>
      <c r="Z172" s="258">
        <f t="shared" si="81"/>
        <v>5.4446588812036003</v>
      </c>
      <c r="AA172" s="257">
        <v>16474</v>
      </c>
      <c r="AB172" s="257">
        <v>18443</v>
      </c>
      <c r="AC172" s="258">
        <f t="shared" si="82"/>
        <v>11.952167051110841</v>
      </c>
      <c r="AD172" s="257">
        <v>30856</v>
      </c>
      <c r="AE172" s="257">
        <v>31325</v>
      </c>
      <c r="AF172" s="258">
        <f t="shared" si="83"/>
        <v>1.5199637023593466</v>
      </c>
      <c r="AG172" s="257">
        <v>13462</v>
      </c>
      <c r="AH172" s="257">
        <v>14520</v>
      </c>
      <c r="AI172" s="258">
        <f t="shared" si="84"/>
        <v>7.8591591145446431</v>
      </c>
      <c r="AJ172" s="257">
        <v>29797</v>
      </c>
      <c r="AK172" s="257">
        <v>31672</v>
      </c>
      <c r="AL172" s="258">
        <f t="shared" si="85"/>
        <v>6.2925797899117359</v>
      </c>
      <c r="AM172" s="257"/>
      <c r="AN172" s="257"/>
      <c r="AO172" s="258">
        <f t="shared" si="86"/>
        <v>0</v>
      </c>
      <c r="AP172" s="257"/>
      <c r="AQ172" s="257"/>
      <c r="AR172" s="258">
        <f t="shared" si="87"/>
        <v>0</v>
      </c>
      <c r="AS172" s="257"/>
      <c r="AT172" s="257"/>
      <c r="AU172" s="258">
        <f t="shared" si="88"/>
        <v>0</v>
      </c>
      <c r="AV172" s="257"/>
      <c r="AW172" s="257"/>
      <c r="AX172" s="258">
        <f t="shared" si="89"/>
        <v>0</v>
      </c>
      <c r="AY172" s="257">
        <v>10637</v>
      </c>
      <c r="AZ172" s="257">
        <v>10884</v>
      </c>
      <c r="BA172" s="258">
        <f t="shared" si="90"/>
        <v>2.3220832941618879</v>
      </c>
      <c r="BB172" s="257">
        <v>33400</v>
      </c>
      <c r="BC172" s="257">
        <v>33647</v>
      </c>
      <c r="BD172" s="258">
        <f t="shared" si="91"/>
        <v>0.73952095808383234</v>
      </c>
    </row>
    <row r="173" spans="1:56">
      <c r="A173" s="247" t="s">
        <v>214</v>
      </c>
      <c r="B173" s="259" t="s">
        <v>384</v>
      </c>
      <c r="C173" s="249">
        <v>6346.9500000000007</v>
      </c>
      <c r="D173" s="249">
        <v>6347</v>
      </c>
      <c r="E173" s="508">
        <f t="shared" ref="E173:E186" si="96">IF(C173&gt;0,(((D173-C173)/C173)*100),0)</f>
        <v>7.8777995729086253E-4</v>
      </c>
      <c r="F173" s="249">
        <v>16514.7</v>
      </c>
      <c r="G173" s="249">
        <v>16515</v>
      </c>
      <c r="H173" s="437">
        <f t="shared" ref="H173:H188" si="97">IF(F173&gt;0,(((G173-F173)/F173)*100),0)</f>
        <v>1.8165634253075888E-3</v>
      </c>
      <c r="I173" s="249">
        <v>5824.08</v>
      </c>
      <c r="J173" s="249">
        <v>5824</v>
      </c>
      <c r="K173" s="437">
        <f t="shared" ref="K173:K188" si="98">IF(I173&gt;0,(((J173-I173)/I173)*100),0)</f>
        <v>-1.3736075053901601E-3</v>
      </c>
      <c r="L173" s="249">
        <v>16106.28</v>
      </c>
      <c r="M173" s="249">
        <v>16106</v>
      </c>
      <c r="N173" s="250">
        <f t="shared" ref="N173:N188" si="99">IF(L173&gt;0,(((M173-L173)/L173)*100),0)</f>
        <v>-1.7384523303994148E-3</v>
      </c>
      <c r="O173" s="249"/>
      <c r="P173" s="249"/>
      <c r="Q173" s="250">
        <f t="shared" si="78"/>
        <v>0</v>
      </c>
      <c r="R173" s="249"/>
      <c r="S173" s="249"/>
      <c r="T173" s="250">
        <f t="shared" si="79"/>
        <v>0</v>
      </c>
      <c r="U173" s="249"/>
      <c r="V173" s="249"/>
      <c r="W173" s="250">
        <f t="shared" si="80"/>
        <v>0</v>
      </c>
      <c r="X173" s="249"/>
      <c r="Y173" s="249"/>
      <c r="Z173" s="250">
        <f t="shared" si="81"/>
        <v>0</v>
      </c>
      <c r="AA173" s="249"/>
      <c r="AB173" s="249"/>
      <c r="AC173" s="250">
        <f t="shared" si="82"/>
        <v>0</v>
      </c>
      <c r="AD173" s="249"/>
      <c r="AE173" s="249"/>
      <c r="AF173" s="250">
        <f t="shared" si="83"/>
        <v>0</v>
      </c>
      <c r="AG173" s="249"/>
      <c r="AH173" s="249"/>
      <c r="AI173" s="250">
        <f t="shared" si="84"/>
        <v>0</v>
      </c>
      <c r="AJ173" s="249"/>
      <c r="AK173" s="249"/>
      <c r="AL173" s="250">
        <f t="shared" si="85"/>
        <v>0</v>
      </c>
      <c r="AM173" s="249"/>
      <c r="AN173" s="249"/>
      <c r="AO173" s="250">
        <f t="shared" si="86"/>
        <v>0</v>
      </c>
      <c r="AP173" s="249"/>
      <c r="AQ173" s="249"/>
      <c r="AR173" s="250">
        <f t="shared" si="87"/>
        <v>0</v>
      </c>
      <c r="AS173" s="249"/>
      <c r="AT173" s="249"/>
      <c r="AU173" s="250">
        <f t="shared" si="88"/>
        <v>0</v>
      </c>
      <c r="AV173" s="249"/>
      <c r="AW173" s="249"/>
      <c r="AX173" s="250">
        <f t="shared" si="89"/>
        <v>0</v>
      </c>
      <c r="AY173" s="249"/>
      <c r="AZ173" s="249"/>
      <c r="BA173" s="250">
        <f t="shared" si="90"/>
        <v>0</v>
      </c>
      <c r="BB173" s="249"/>
      <c r="BC173" s="249"/>
      <c r="BD173" s="250">
        <f t="shared" si="91"/>
        <v>0</v>
      </c>
    </row>
    <row r="174" spans="1:56">
      <c r="A174" s="251"/>
      <c r="B174" s="259" t="s">
        <v>385</v>
      </c>
      <c r="C174" s="249"/>
      <c r="D174" s="249"/>
      <c r="E174" s="508">
        <f t="shared" si="96"/>
        <v>0</v>
      </c>
      <c r="F174" s="249"/>
      <c r="G174" s="249"/>
      <c r="H174" s="437">
        <f t="shared" si="97"/>
        <v>0</v>
      </c>
      <c r="I174" s="249"/>
      <c r="J174" s="249"/>
      <c r="K174" s="437">
        <f t="shared" si="98"/>
        <v>0</v>
      </c>
      <c r="L174" s="249"/>
      <c r="M174" s="249"/>
      <c r="N174" s="250">
        <f t="shared" si="99"/>
        <v>0</v>
      </c>
      <c r="O174" s="249"/>
      <c r="P174" s="249"/>
      <c r="Q174" s="250">
        <f t="shared" si="78"/>
        <v>0</v>
      </c>
      <c r="R174" s="249"/>
      <c r="S174" s="249"/>
      <c r="T174" s="250">
        <f t="shared" si="79"/>
        <v>0</v>
      </c>
      <c r="U174" s="249"/>
      <c r="V174" s="249"/>
      <c r="W174" s="250">
        <f t="shared" si="80"/>
        <v>0</v>
      </c>
      <c r="X174" s="249"/>
      <c r="Y174" s="249"/>
      <c r="Z174" s="250">
        <f t="shared" si="81"/>
        <v>0</v>
      </c>
      <c r="AA174" s="249"/>
      <c r="AB174" s="249"/>
      <c r="AC174" s="250">
        <f t="shared" si="82"/>
        <v>0</v>
      </c>
      <c r="AD174" s="249"/>
      <c r="AE174" s="249"/>
      <c r="AF174" s="250">
        <f t="shared" si="83"/>
        <v>0</v>
      </c>
      <c r="AG174" s="249"/>
      <c r="AH174" s="249"/>
      <c r="AI174" s="250">
        <f t="shared" si="84"/>
        <v>0</v>
      </c>
      <c r="AJ174" s="249"/>
      <c r="AK174" s="249"/>
      <c r="AL174" s="250">
        <f t="shared" si="85"/>
        <v>0</v>
      </c>
      <c r="AM174" s="249"/>
      <c r="AN174" s="249"/>
      <c r="AO174" s="250">
        <f t="shared" si="86"/>
        <v>0</v>
      </c>
      <c r="AP174" s="249"/>
      <c r="AQ174" s="249"/>
      <c r="AR174" s="250">
        <f t="shared" si="87"/>
        <v>0</v>
      </c>
      <c r="AS174" s="249"/>
      <c r="AT174" s="249"/>
      <c r="AU174" s="250">
        <f t="shared" si="88"/>
        <v>0</v>
      </c>
      <c r="AV174" s="249"/>
      <c r="AW174" s="249"/>
      <c r="AX174" s="250">
        <f t="shared" si="89"/>
        <v>0</v>
      </c>
      <c r="AY174" s="249"/>
      <c r="AZ174" s="249"/>
      <c r="BA174" s="250">
        <f t="shared" si="90"/>
        <v>0</v>
      </c>
      <c r="BB174" s="249"/>
      <c r="BC174" s="249"/>
      <c r="BD174" s="250">
        <f t="shared" si="91"/>
        <v>0</v>
      </c>
    </row>
    <row r="175" spans="1:56">
      <c r="A175" s="251"/>
      <c r="B175" s="259" t="s">
        <v>386</v>
      </c>
      <c r="C175" s="249">
        <v>4188.75</v>
      </c>
      <c r="D175" s="249">
        <v>4189</v>
      </c>
      <c r="E175" s="508">
        <f t="shared" si="96"/>
        <v>5.9683676514473288E-3</v>
      </c>
      <c r="F175" s="249">
        <v>10448.25</v>
      </c>
      <c r="G175" s="249">
        <v>10448.5</v>
      </c>
      <c r="H175" s="437">
        <f t="shared" si="97"/>
        <v>2.392745196564018E-3</v>
      </c>
      <c r="I175" s="249">
        <v>4324.7999999999993</v>
      </c>
      <c r="J175" s="249">
        <v>4325</v>
      </c>
      <c r="K175" s="437">
        <f t="shared" si="98"/>
        <v>4.6244913059731701E-3</v>
      </c>
      <c r="L175" s="249">
        <v>9917.4</v>
      </c>
      <c r="M175" s="249">
        <v>9917.5</v>
      </c>
      <c r="N175" s="250">
        <f t="shared" si="99"/>
        <v>1.0083287958574203E-3</v>
      </c>
      <c r="O175" s="249"/>
      <c r="P175" s="249"/>
      <c r="Q175" s="250">
        <f t="shared" si="78"/>
        <v>0</v>
      </c>
      <c r="R175" s="249"/>
      <c r="S175" s="249"/>
      <c r="T175" s="250">
        <f t="shared" si="79"/>
        <v>0</v>
      </c>
      <c r="U175" s="249"/>
      <c r="V175" s="249"/>
      <c r="W175" s="250">
        <f t="shared" si="80"/>
        <v>0</v>
      </c>
      <c r="X175" s="249"/>
      <c r="Y175" s="249"/>
      <c r="Z175" s="250">
        <f t="shared" si="81"/>
        <v>0</v>
      </c>
      <c r="AA175" s="249"/>
      <c r="AB175" s="249"/>
      <c r="AC175" s="250">
        <f t="shared" si="82"/>
        <v>0</v>
      </c>
      <c r="AD175" s="249"/>
      <c r="AE175" s="249"/>
      <c r="AF175" s="250">
        <f t="shared" si="83"/>
        <v>0</v>
      </c>
      <c r="AG175" s="249"/>
      <c r="AH175" s="249"/>
      <c r="AI175" s="250">
        <f t="shared" si="84"/>
        <v>0</v>
      </c>
      <c r="AJ175" s="249"/>
      <c r="AK175" s="249"/>
      <c r="AL175" s="250">
        <f t="shared" si="85"/>
        <v>0</v>
      </c>
      <c r="AM175" s="249"/>
      <c r="AN175" s="249"/>
      <c r="AO175" s="250">
        <f t="shared" si="86"/>
        <v>0</v>
      </c>
      <c r="AP175" s="249"/>
      <c r="AQ175" s="249"/>
      <c r="AR175" s="250">
        <f t="shared" si="87"/>
        <v>0</v>
      </c>
      <c r="AS175" s="249"/>
      <c r="AT175" s="249"/>
      <c r="AU175" s="250">
        <f t="shared" si="88"/>
        <v>0</v>
      </c>
      <c r="AV175" s="249"/>
      <c r="AW175" s="249"/>
      <c r="AX175" s="250">
        <f t="shared" si="89"/>
        <v>0</v>
      </c>
      <c r="AY175" s="249"/>
      <c r="AZ175" s="249"/>
      <c r="BA175" s="250">
        <f t="shared" si="90"/>
        <v>0</v>
      </c>
      <c r="BB175" s="249"/>
      <c r="BC175" s="249"/>
      <c r="BD175" s="250">
        <f t="shared" si="91"/>
        <v>0</v>
      </c>
    </row>
    <row r="176" spans="1:56">
      <c r="A176" s="251"/>
      <c r="B176" s="259" t="s">
        <v>387</v>
      </c>
      <c r="C176" s="249"/>
      <c r="D176" s="249"/>
      <c r="E176" s="508">
        <f t="shared" si="96"/>
        <v>0</v>
      </c>
      <c r="F176" s="249"/>
      <c r="G176" s="249"/>
      <c r="H176" s="437">
        <f t="shared" si="97"/>
        <v>0</v>
      </c>
      <c r="I176" s="249"/>
      <c r="J176" s="249"/>
      <c r="K176" s="437">
        <f t="shared" si="98"/>
        <v>0</v>
      </c>
      <c r="L176" s="249"/>
      <c r="M176" s="249"/>
      <c r="N176" s="250">
        <f t="shared" si="99"/>
        <v>0</v>
      </c>
      <c r="O176" s="249"/>
      <c r="P176" s="249"/>
      <c r="Q176" s="250">
        <f t="shared" si="78"/>
        <v>0</v>
      </c>
      <c r="R176" s="249"/>
      <c r="S176" s="249"/>
      <c r="T176" s="250">
        <f t="shared" si="79"/>
        <v>0</v>
      </c>
      <c r="U176" s="249"/>
      <c r="V176" s="249"/>
      <c r="W176" s="250">
        <f t="shared" si="80"/>
        <v>0</v>
      </c>
      <c r="X176" s="249"/>
      <c r="Y176" s="249"/>
      <c r="Z176" s="250">
        <f t="shared" si="81"/>
        <v>0</v>
      </c>
      <c r="AA176" s="249"/>
      <c r="AB176" s="249"/>
      <c r="AC176" s="250">
        <f t="shared" si="82"/>
        <v>0</v>
      </c>
      <c r="AD176" s="249"/>
      <c r="AE176" s="249"/>
      <c r="AF176" s="250">
        <f t="shared" si="83"/>
        <v>0</v>
      </c>
      <c r="AG176" s="249"/>
      <c r="AH176" s="249"/>
      <c r="AI176" s="250">
        <f t="shared" si="84"/>
        <v>0</v>
      </c>
      <c r="AJ176" s="249"/>
      <c r="AK176" s="249"/>
      <c r="AL176" s="250">
        <f t="shared" si="85"/>
        <v>0</v>
      </c>
      <c r="AM176" s="249"/>
      <c r="AN176" s="249"/>
      <c r="AO176" s="250">
        <f t="shared" si="86"/>
        <v>0</v>
      </c>
      <c r="AP176" s="249"/>
      <c r="AQ176" s="249"/>
      <c r="AR176" s="250">
        <f t="shared" si="87"/>
        <v>0</v>
      </c>
      <c r="AS176" s="249"/>
      <c r="AT176" s="249"/>
      <c r="AU176" s="250">
        <f t="shared" si="88"/>
        <v>0</v>
      </c>
      <c r="AV176" s="249"/>
      <c r="AW176" s="249"/>
      <c r="AX176" s="250">
        <f t="shared" si="89"/>
        <v>0</v>
      </c>
      <c r="AY176" s="249"/>
      <c r="AZ176" s="249"/>
      <c r="BA176" s="250">
        <f t="shared" si="90"/>
        <v>0</v>
      </c>
      <c r="BB176" s="249"/>
      <c r="BC176" s="249"/>
      <c r="BD176" s="250">
        <f t="shared" si="91"/>
        <v>0</v>
      </c>
    </row>
    <row r="177" spans="1:56">
      <c r="A177" s="251"/>
      <c r="B177" s="259" t="s">
        <v>388</v>
      </c>
      <c r="C177" s="249">
        <v>4110</v>
      </c>
      <c r="D177" s="249">
        <v>4110</v>
      </c>
      <c r="E177" s="508">
        <f t="shared" si="96"/>
        <v>0</v>
      </c>
      <c r="F177" s="249">
        <v>10057.5</v>
      </c>
      <c r="G177" s="249">
        <v>10057.5</v>
      </c>
      <c r="H177" s="437">
        <f t="shared" si="97"/>
        <v>0</v>
      </c>
      <c r="I177" s="249">
        <v>3975.6000000000004</v>
      </c>
      <c r="J177" s="249">
        <v>3975.5</v>
      </c>
      <c r="K177" s="437">
        <f t="shared" si="98"/>
        <v>-2.5153435959443552E-3</v>
      </c>
      <c r="L177" s="249">
        <v>9654</v>
      </c>
      <c r="M177" s="249">
        <v>9654</v>
      </c>
      <c r="N177" s="250">
        <f t="shared" si="99"/>
        <v>0</v>
      </c>
      <c r="O177" s="249"/>
      <c r="P177" s="249"/>
      <c r="Q177" s="250">
        <f t="shared" si="78"/>
        <v>0</v>
      </c>
      <c r="R177" s="249"/>
      <c r="S177" s="249"/>
      <c r="T177" s="250">
        <f t="shared" si="79"/>
        <v>0</v>
      </c>
      <c r="U177" s="249"/>
      <c r="V177" s="249"/>
      <c r="W177" s="250">
        <f t="shared" si="80"/>
        <v>0</v>
      </c>
      <c r="X177" s="249"/>
      <c r="Y177" s="249"/>
      <c r="Z177" s="250">
        <f t="shared" si="81"/>
        <v>0</v>
      </c>
      <c r="AA177" s="249"/>
      <c r="AB177" s="249"/>
      <c r="AC177" s="250">
        <f t="shared" si="82"/>
        <v>0</v>
      </c>
      <c r="AD177" s="249"/>
      <c r="AE177" s="249"/>
      <c r="AF177" s="250">
        <f t="shared" si="83"/>
        <v>0</v>
      </c>
      <c r="AG177" s="249"/>
      <c r="AH177" s="249"/>
      <c r="AI177" s="250">
        <f t="shared" si="84"/>
        <v>0</v>
      </c>
      <c r="AJ177" s="249"/>
      <c r="AK177" s="249"/>
      <c r="AL177" s="250">
        <f t="shared" si="85"/>
        <v>0</v>
      </c>
      <c r="AM177" s="249"/>
      <c r="AN177" s="249"/>
      <c r="AO177" s="250">
        <f t="shared" si="86"/>
        <v>0</v>
      </c>
      <c r="AP177" s="249"/>
      <c r="AQ177" s="249"/>
      <c r="AR177" s="250">
        <f t="shared" si="87"/>
        <v>0</v>
      </c>
      <c r="AS177" s="249"/>
      <c r="AT177" s="249"/>
      <c r="AU177" s="250">
        <f t="shared" si="88"/>
        <v>0</v>
      </c>
      <c r="AV177" s="249"/>
      <c r="AW177" s="249"/>
      <c r="AX177" s="250">
        <f t="shared" si="89"/>
        <v>0</v>
      </c>
      <c r="AY177" s="249"/>
      <c r="AZ177" s="249"/>
      <c r="BA177" s="250">
        <f t="shared" si="90"/>
        <v>0</v>
      </c>
      <c r="BB177" s="249"/>
      <c r="BC177" s="249"/>
      <c r="BD177" s="250">
        <f t="shared" si="91"/>
        <v>0</v>
      </c>
    </row>
    <row r="178" spans="1:56">
      <c r="A178" s="251"/>
      <c r="B178" s="259" t="s">
        <v>389</v>
      </c>
      <c r="C178" s="249">
        <v>4276.5</v>
      </c>
      <c r="D178" s="249">
        <v>4277</v>
      </c>
      <c r="E178" s="508">
        <f t="shared" si="96"/>
        <v>1.1691804045364199E-2</v>
      </c>
      <c r="F178" s="249">
        <v>9733.5</v>
      </c>
      <c r="G178" s="249">
        <v>9734</v>
      </c>
      <c r="H178" s="437">
        <f t="shared" si="97"/>
        <v>5.1368983407818359E-3</v>
      </c>
      <c r="I178" s="249"/>
      <c r="J178" s="249"/>
      <c r="K178" s="437">
        <f t="shared" si="98"/>
        <v>0</v>
      </c>
      <c r="L178" s="249"/>
      <c r="M178" s="249"/>
      <c r="N178" s="250">
        <f t="shared" si="99"/>
        <v>0</v>
      </c>
      <c r="O178" s="249"/>
      <c r="P178" s="249"/>
      <c r="Q178" s="250">
        <f t="shared" si="78"/>
        <v>0</v>
      </c>
      <c r="R178" s="249"/>
      <c r="S178" s="249"/>
      <c r="T178" s="250">
        <f t="shared" si="79"/>
        <v>0</v>
      </c>
      <c r="U178" s="249"/>
      <c r="V178" s="249"/>
      <c r="W178" s="250">
        <f t="shared" si="80"/>
        <v>0</v>
      </c>
      <c r="X178" s="249"/>
      <c r="Y178" s="249"/>
      <c r="Z178" s="250">
        <f t="shared" si="81"/>
        <v>0</v>
      </c>
      <c r="AA178" s="249"/>
      <c r="AB178" s="249"/>
      <c r="AC178" s="250">
        <f t="shared" si="82"/>
        <v>0</v>
      </c>
      <c r="AD178" s="249"/>
      <c r="AE178" s="249"/>
      <c r="AF178" s="250">
        <f t="shared" si="83"/>
        <v>0</v>
      </c>
      <c r="AG178" s="249"/>
      <c r="AH178" s="249"/>
      <c r="AI178" s="250">
        <f t="shared" si="84"/>
        <v>0</v>
      </c>
      <c r="AJ178" s="249"/>
      <c r="AK178" s="249"/>
      <c r="AL178" s="250">
        <f t="shared" si="85"/>
        <v>0</v>
      </c>
      <c r="AM178" s="249"/>
      <c r="AN178" s="249"/>
      <c r="AO178" s="250">
        <f t="shared" si="86"/>
        <v>0</v>
      </c>
      <c r="AP178" s="249"/>
      <c r="AQ178" s="249"/>
      <c r="AR178" s="250">
        <f t="shared" si="87"/>
        <v>0</v>
      </c>
      <c r="AS178" s="249"/>
      <c r="AT178" s="249"/>
      <c r="AU178" s="250">
        <f t="shared" si="88"/>
        <v>0</v>
      </c>
      <c r="AV178" s="249"/>
      <c r="AW178" s="249"/>
      <c r="AX178" s="250">
        <f t="shared" si="89"/>
        <v>0</v>
      </c>
      <c r="AY178" s="249"/>
      <c r="AZ178" s="249"/>
      <c r="BA178" s="250">
        <f t="shared" si="90"/>
        <v>0</v>
      </c>
      <c r="BB178" s="249"/>
      <c r="BC178" s="249"/>
      <c r="BD178" s="250">
        <f t="shared" si="91"/>
        <v>0</v>
      </c>
    </row>
    <row r="179" spans="1:56" s="255" customFormat="1" ht="19.5" customHeight="1">
      <c r="A179" s="252"/>
      <c r="B179" s="431" t="s">
        <v>221</v>
      </c>
      <c r="C179" s="425">
        <v>4221</v>
      </c>
      <c r="D179" s="425">
        <v>4221</v>
      </c>
      <c r="E179" s="509">
        <f t="shared" si="96"/>
        <v>0</v>
      </c>
      <c r="F179" s="425">
        <v>10236</v>
      </c>
      <c r="G179" s="425">
        <v>10236</v>
      </c>
      <c r="H179" s="438">
        <f t="shared" si="97"/>
        <v>0</v>
      </c>
      <c r="I179" s="425">
        <v>4088.76</v>
      </c>
      <c r="J179" s="425">
        <v>4088.5</v>
      </c>
      <c r="K179" s="438">
        <f t="shared" si="98"/>
        <v>-6.3588960956431359E-3</v>
      </c>
      <c r="L179" s="425">
        <v>9794.16</v>
      </c>
      <c r="M179" s="425">
        <v>9794</v>
      </c>
      <c r="N179" s="421">
        <f t="shared" si="99"/>
        <v>-1.6336265693010373E-3</v>
      </c>
      <c r="O179" s="425"/>
      <c r="P179" s="425"/>
      <c r="Q179" s="421">
        <f t="shared" si="78"/>
        <v>0</v>
      </c>
      <c r="R179" s="425"/>
      <c r="S179" s="425"/>
      <c r="T179" s="421">
        <f t="shared" si="79"/>
        <v>0</v>
      </c>
      <c r="U179" s="425"/>
      <c r="V179" s="425"/>
      <c r="W179" s="421">
        <f t="shared" si="80"/>
        <v>0</v>
      </c>
      <c r="X179" s="425"/>
      <c r="Y179" s="425"/>
      <c r="Z179" s="421">
        <f t="shared" si="81"/>
        <v>0</v>
      </c>
      <c r="AA179" s="425"/>
      <c r="AB179" s="425"/>
      <c r="AC179" s="421">
        <f t="shared" si="82"/>
        <v>0</v>
      </c>
      <c r="AD179" s="425"/>
      <c r="AE179" s="425"/>
      <c r="AF179" s="421">
        <f t="shared" si="83"/>
        <v>0</v>
      </c>
      <c r="AG179" s="425"/>
      <c r="AH179" s="425"/>
      <c r="AI179" s="421">
        <f t="shared" si="84"/>
        <v>0</v>
      </c>
      <c r="AJ179" s="425"/>
      <c r="AK179" s="425"/>
      <c r="AL179" s="421">
        <f t="shared" si="85"/>
        <v>0</v>
      </c>
      <c r="AM179" s="425"/>
      <c r="AN179" s="425"/>
      <c r="AO179" s="421">
        <f t="shared" si="86"/>
        <v>0</v>
      </c>
      <c r="AP179" s="425"/>
      <c r="AQ179" s="425"/>
      <c r="AR179" s="421">
        <f t="shared" si="87"/>
        <v>0</v>
      </c>
      <c r="AS179" s="425"/>
      <c r="AT179" s="425"/>
      <c r="AU179" s="421">
        <f t="shared" si="88"/>
        <v>0</v>
      </c>
      <c r="AV179" s="425"/>
      <c r="AW179" s="425"/>
      <c r="AX179" s="421">
        <f t="shared" si="89"/>
        <v>0</v>
      </c>
      <c r="AY179" s="425"/>
      <c r="AZ179" s="425"/>
      <c r="BA179" s="421">
        <f t="shared" si="90"/>
        <v>0</v>
      </c>
      <c r="BB179" s="425"/>
      <c r="BC179" s="425"/>
      <c r="BD179" s="421">
        <f t="shared" si="91"/>
        <v>0</v>
      </c>
    </row>
    <row r="180" spans="1:56">
      <c r="A180" s="251"/>
      <c r="B180" s="259" t="s">
        <v>390</v>
      </c>
      <c r="C180" s="249">
        <v>3832.5</v>
      </c>
      <c r="D180" s="249">
        <v>3833</v>
      </c>
      <c r="E180" s="508">
        <f t="shared" si="96"/>
        <v>1.3046314416177431E-2</v>
      </c>
      <c r="F180" s="249">
        <v>9142.5</v>
      </c>
      <c r="G180" s="249">
        <v>9143</v>
      </c>
      <c r="H180" s="437">
        <f t="shared" si="97"/>
        <v>5.4689636313918514E-3</v>
      </c>
      <c r="I180" s="249"/>
      <c r="J180" s="249"/>
      <c r="K180" s="437">
        <f t="shared" si="98"/>
        <v>0</v>
      </c>
      <c r="L180" s="249"/>
      <c r="M180" s="249"/>
      <c r="N180" s="250">
        <f t="shared" si="99"/>
        <v>0</v>
      </c>
      <c r="O180" s="249"/>
      <c r="P180" s="249"/>
      <c r="Q180" s="250">
        <f t="shared" si="78"/>
        <v>0</v>
      </c>
      <c r="R180" s="249"/>
      <c r="S180" s="249"/>
      <c r="T180" s="250">
        <f t="shared" si="79"/>
        <v>0</v>
      </c>
      <c r="U180" s="249"/>
      <c r="V180" s="249"/>
      <c r="W180" s="250">
        <f t="shared" si="80"/>
        <v>0</v>
      </c>
      <c r="X180" s="249"/>
      <c r="Y180" s="249"/>
      <c r="Z180" s="250">
        <f t="shared" si="81"/>
        <v>0</v>
      </c>
      <c r="AA180" s="249"/>
      <c r="AB180" s="249"/>
      <c r="AC180" s="250">
        <f t="shared" si="82"/>
        <v>0</v>
      </c>
      <c r="AD180" s="249"/>
      <c r="AE180" s="249"/>
      <c r="AF180" s="250">
        <f t="shared" si="83"/>
        <v>0</v>
      </c>
      <c r="AG180" s="249"/>
      <c r="AH180" s="249"/>
      <c r="AI180" s="250">
        <f t="shared" si="84"/>
        <v>0</v>
      </c>
      <c r="AJ180" s="249"/>
      <c r="AK180" s="249"/>
      <c r="AL180" s="250">
        <f t="shared" si="85"/>
        <v>0</v>
      </c>
      <c r="AM180" s="249"/>
      <c r="AN180" s="249"/>
      <c r="AO180" s="250">
        <f t="shared" si="86"/>
        <v>0</v>
      </c>
      <c r="AP180" s="249"/>
      <c r="AQ180" s="249"/>
      <c r="AR180" s="250">
        <f t="shared" si="87"/>
        <v>0</v>
      </c>
      <c r="AS180" s="249"/>
      <c r="AT180" s="249"/>
      <c r="AU180" s="250">
        <f t="shared" si="88"/>
        <v>0</v>
      </c>
      <c r="AV180" s="249"/>
      <c r="AW180" s="249"/>
      <c r="AX180" s="250">
        <f t="shared" si="89"/>
        <v>0</v>
      </c>
      <c r="AY180" s="249"/>
      <c r="AZ180" s="249"/>
      <c r="BA180" s="250">
        <f t="shared" si="90"/>
        <v>0</v>
      </c>
      <c r="BB180" s="249"/>
      <c r="BC180" s="249"/>
      <c r="BD180" s="250">
        <f t="shared" si="91"/>
        <v>0</v>
      </c>
    </row>
    <row r="181" spans="1:56">
      <c r="A181" s="251"/>
      <c r="B181" s="259" t="s">
        <v>391</v>
      </c>
      <c r="C181" s="249">
        <v>2614.1999999999998</v>
      </c>
      <c r="D181" s="249">
        <v>2614</v>
      </c>
      <c r="E181" s="508">
        <f t="shared" si="96"/>
        <v>-7.6505240608912136E-3</v>
      </c>
      <c r="F181" s="249">
        <v>7047.4500000000007</v>
      </c>
      <c r="G181" s="249">
        <v>7047.5</v>
      </c>
      <c r="H181" s="437">
        <f t="shared" si="97"/>
        <v>7.0947647729707058E-4</v>
      </c>
      <c r="I181" s="249"/>
      <c r="J181" s="249"/>
      <c r="K181" s="437">
        <f t="shared" si="98"/>
        <v>0</v>
      </c>
      <c r="L181" s="249"/>
      <c r="M181" s="249"/>
      <c r="N181" s="250">
        <f t="shared" si="99"/>
        <v>0</v>
      </c>
      <c r="O181" s="249"/>
      <c r="P181" s="249"/>
      <c r="Q181" s="250">
        <f t="shared" si="78"/>
        <v>0</v>
      </c>
      <c r="R181" s="249"/>
      <c r="S181" s="249"/>
      <c r="T181" s="250">
        <f t="shared" si="79"/>
        <v>0</v>
      </c>
      <c r="U181" s="249"/>
      <c r="V181" s="249"/>
      <c r="W181" s="250">
        <f t="shared" si="80"/>
        <v>0</v>
      </c>
      <c r="X181" s="249"/>
      <c r="Y181" s="249"/>
      <c r="Z181" s="250">
        <f t="shared" si="81"/>
        <v>0</v>
      </c>
      <c r="AA181" s="249"/>
      <c r="AB181" s="249"/>
      <c r="AC181" s="250">
        <f t="shared" si="82"/>
        <v>0</v>
      </c>
      <c r="AD181" s="249"/>
      <c r="AE181" s="249"/>
      <c r="AF181" s="250">
        <f t="shared" si="83"/>
        <v>0</v>
      </c>
      <c r="AG181" s="249"/>
      <c r="AH181" s="249"/>
      <c r="AI181" s="250">
        <f t="shared" si="84"/>
        <v>0</v>
      </c>
      <c r="AJ181" s="249"/>
      <c r="AK181" s="249"/>
      <c r="AL181" s="250">
        <f t="shared" si="85"/>
        <v>0</v>
      </c>
      <c r="AM181" s="249"/>
      <c r="AN181" s="249"/>
      <c r="AO181" s="250">
        <f t="shared" si="86"/>
        <v>0</v>
      </c>
      <c r="AP181" s="249"/>
      <c r="AQ181" s="249"/>
      <c r="AR181" s="250">
        <f t="shared" si="87"/>
        <v>0</v>
      </c>
      <c r="AS181" s="249"/>
      <c r="AT181" s="249"/>
      <c r="AU181" s="250">
        <f t="shared" si="88"/>
        <v>0</v>
      </c>
      <c r="AV181" s="249"/>
      <c r="AW181" s="249"/>
      <c r="AX181" s="250">
        <f t="shared" si="89"/>
        <v>0</v>
      </c>
      <c r="AY181" s="249"/>
      <c r="AZ181" s="249"/>
      <c r="BA181" s="250">
        <f t="shared" si="90"/>
        <v>0</v>
      </c>
      <c r="BB181" s="249"/>
      <c r="BC181" s="249"/>
      <c r="BD181" s="250">
        <f t="shared" si="91"/>
        <v>0</v>
      </c>
    </row>
    <row r="182" spans="1:56">
      <c r="A182" s="251"/>
      <c r="B182" s="259" t="s">
        <v>392</v>
      </c>
      <c r="C182" s="249">
        <v>2534.1</v>
      </c>
      <c r="D182" s="249">
        <v>2534</v>
      </c>
      <c r="E182" s="508">
        <f t="shared" si="96"/>
        <v>-3.9461741841248987E-3</v>
      </c>
      <c r="F182" s="249">
        <v>7394.1</v>
      </c>
      <c r="G182" s="249">
        <v>7394</v>
      </c>
      <c r="H182" s="437">
        <f t="shared" si="97"/>
        <v>-1.3524296398529068E-3</v>
      </c>
      <c r="I182" s="249"/>
      <c r="J182" s="249"/>
      <c r="K182" s="437">
        <f t="shared" si="98"/>
        <v>0</v>
      </c>
      <c r="L182" s="249"/>
      <c r="M182" s="249"/>
      <c r="N182" s="250">
        <f t="shared" si="99"/>
        <v>0</v>
      </c>
      <c r="O182" s="249"/>
      <c r="P182" s="249"/>
      <c r="Q182" s="250">
        <f t="shared" si="78"/>
        <v>0</v>
      </c>
      <c r="R182" s="249"/>
      <c r="S182" s="249"/>
      <c r="T182" s="250">
        <f t="shared" si="79"/>
        <v>0</v>
      </c>
      <c r="U182" s="249"/>
      <c r="V182" s="249"/>
      <c r="W182" s="250">
        <f t="shared" si="80"/>
        <v>0</v>
      </c>
      <c r="X182" s="249"/>
      <c r="Y182" s="249"/>
      <c r="Z182" s="250">
        <f t="shared" si="81"/>
        <v>0</v>
      </c>
      <c r="AA182" s="249"/>
      <c r="AB182" s="249"/>
      <c r="AC182" s="250">
        <f t="shared" si="82"/>
        <v>0</v>
      </c>
      <c r="AD182" s="249"/>
      <c r="AE182" s="249"/>
      <c r="AF182" s="250">
        <f t="shared" si="83"/>
        <v>0</v>
      </c>
      <c r="AG182" s="249"/>
      <c r="AH182" s="249"/>
      <c r="AI182" s="250">
        <f t="shared" si="84"/>
        <v>0</v>
      </c>
      <c r="AJ182" s="249"/>
      <c r="AK182" s="249"/>
      <c r="AL182" s="250">
        <f t="shared" si="85"/>
        <v>0</v>
      </c>
      <c r="AM182" s="249"/>
      <c r="AN182" s="249"/>
      <c r="AO182" s="250">
        <f t="shared" si="86"/>
        <v>0</v>
      </c>
      <c r="AP182" s="249"/>
      <c r="AQ182" s="249"/>
      <c r="AR182" s="250">
        <f t="shared" si="87"/>
        <v>0</v>
      </c>
      <c r="AS182" s="249"/>
      <c r="AT182" s="249"/>
      <c r="AU182" s="250">
        <f t="shared" si="88"/>
        <v>0</v>
      </c>
      <c r="AV182" s="249"/>
      <c r="AW182" s="249"/>
      <c r="AX182" s="250">
        <f t="shared" si="89"/>
        <v>0</v>
      </c>
      <c r="AY182" s="249"/>
      <c r="AZ182" s="249"/>
      <c r="BA182" s="250">
        <f t="shared" si="90"/>
        <v>0</v>
      </c>
      <c r="BB182" s="249"/>
      <c r="BC182" s="249"/>
      <c r="BD182" s="250">
        <f t="shared" si="91"/>
        <v>0</v>
      </c>
    </row>
    <row r="183" spans="1:56">
      <c r="A183" s="251"/>
      <c r="B183" s="259" t="s">
        <v>196</v>
      </c>
      <c r="C183" s="249">
        <v>2759.25</v>
      </c>
      <c r="D183" s="249">
        <v>2759.5</v>
      </c>
      <c r="E183" s="508">
        <f t="shared" si="96"/>
        <v>9.0604330887016395E-3</v>
      </c>
      <c r="F183" s="249">
        <v>6243.3</v>
      </c>
      <c r="G183" s="249">
        <v>6268.5</v>
      </c>
      <c r="H183" s="437">
        <f t="shared" si="97"/>
        <v>0.40363269424823117</v>
      </c>
      <c r="I183" s="249"/>
      <c r="J183" s="249"/>
      <c r="K183" s="437">
        <f t="shared" si="98"/>
        <v>0</v>
      </c>
      <c r="L183" s="249"/>
      <c r="M183" s="249"/>
      <c r="N183" s="250">
        <f t="shared" si="99"/>
        <v>0</v>
      </c>
      <c r="O183" s="249"/>
      <c r="P183" s="249"/>
      <c r="Q183" s="250">
        <f t="shared" si="78"/>
        <v>0</v>
      </c>
      <c r="R183" s="249"/>
      <c r="S183" s="249"/>
      <c r="T183" s="250">
        <f t="shared" si="79"/>
        <v>0</v>
      </c>
      <c r="U183" s="249"/>
      <c r="V183" s="249"/>
      <c r="W183" s="250">
        <f t="shared" si="80"/>
        <v>0</v>
      </c>
      <c r="X183" s="249"/>
      <c r="Y183" s="249"/>
      <c r="Z183" s="250">
        <f t="shared" si="81"/>
        <v>0</v>
      </c>
      <c r="AA183" s="249"/>
      <c r="AB183" s="249"/>
      <c r="AC183" s="250">
        <f t="shared" si="82"/>
        <v>0</v>
      </c>
      <c r="AD183" s="249"/>
      <c r="AE183" s="249"/>
      <c r="AF183" s="250">
        <f t="shared" si="83"/>
        <v>0</v>
      </c>
      <c r="AG183" s="249"/>
      <c r="AH183" s="249"/>
      <c r="AI183" s="250">
        <f t="shared" si="84"/>
        <v>0</v>
      </c>
      <c r="AJ183" s="249"/>
      <c r="AK183" s="249"/>
      <c r="AL183" s="250">
        <f t="shared" si="85"/>
        <v>0</v>
      </c>
      <c r="AM183" s="249"/>
      <c r="AN183" s="249"/>
      <c r="AO183" s="250">
        <f t="shared" si="86"/>
        <v>0</v>
      </c>
      <c r="AP183" s="249"/>
      <c r="AQ183" s="249"/>
      <c r="AR183" s="250">
        <f t="shared" si="87"/>
        <v>0</v>
      </c>
      <c r="AS183" s="249"/>
      <c r="AT183" s="249"/>
      <c r="AU183" s="250">
        <f t="shared" si="88"/>
        <v>0</v>
      </c>
      <c r="AV183" s="249"/>
      <c r="AW183" s="249"/>
      <c r="AX183" s="250">
        <f t="shared" si="89"/>
        <v>0</v>
      </c>
      <c r="AY183" s="249"/>
      <c r="AZ183" s="249"/>
      <c r="BA183" s="250">
        <f t="shared" si="90"/>
        <v>0</v>
      </c>
      <c r="BB183" s="249"/>
      <c r="BC183" s="249"/>
      <c r="BD183" s="250">
        <f t="shared" si="91"/>
        <v>0</v>
      </c>
    </row>
    <row r="184" spans="1:56" s="255" customFormat="1" ht="20.25" customHeight="1">
      <c r="A184" s="252"/>
      <c r="B184" s="431" t="s">
        <v>550</v>
      </c>
      <c r="C184" s="425">
        <v>2695.95</v>
      </c>
      <c r="D184" s="425">
        <v>2696</v>
      </c>
      <c r="E184" s="509">
        <f t="shared" si="96"/>
        <v>1.8546338025624326E-3</v>
      </c>
      <c r="F184" s="425">
        <v>6550.95</v>
      </c>
      <c r="G184" s="425">
        <v>6551</v>
      </c>
      <c r="H184" s="438">
        <f t="shared" si="97"/>
        <v>7.6324807852573898E-4</v>
      </c>
      <c r="I184" s="425"/>
      <c r="J184" s="425"/>
      <c r="K184" s="438">
        <f t="shared" si="98"/>
        <v>0</v>
      </c>
      <c r="L184" s="425"/>
      <c r="M184" s="425"/>
      <c r="N184" s="421">
        <f t="shared" si="99"/>
        <v>0</v>
      </c>
      <c r="O184" s="425"/>
      <c r="P184" s="425"/>
      <c r="Q184" s="421">
        <f t="shared" si="78"/>
        <v>0</v>
      </c>
      <c r="R184" s="425"/>
      <c r="S184" s="425"/>
      <c r="T184" s="421">
        <f t="shared" si="79"/>
        <v>0</v>
      </c>
      <c r="U184" s="425"/>
      <c r="V184" s="425"/>
      <c r="W184" s="421">
        <f t="shared" si="80"/>
        <v>0</v>
      </c>
      <c r="X184" s="425"/>
      <c r="Y184" s="425"/>
      <c r="Z184" s="421">
        <f t="shared" si="81"/>
        <v>0</v>
      </c>
      <c r="AA184" s="425"/>
      <c r="AB184" s="425"/>
      <c r="AC184" s="421">
        <f t="shared" si="82"/>
        <v>0</v>
      </c>
      <c r="AD184" s="425"/>
      <c r="AE184" s="425"/>
      <c r="AF184" s="421">
        <f t="shared" si="83"/>
        <v>0</v>
      </c>
      <c r="AG184" s="425"/>
      <c r="AH184" s="425"/>
      <c r="AI184" s="421">
        <f t="shared" si="84"/>
        <v>0</v>
      </c>
      <c r="AJ184" s="425"/>
      <c r="AK184" s="425"/>
      <c r="AL184" s="421">
        <f t="shared" si="85"/>
        <v>0</v>
      </c>
      <c r="AM184" s="425"/>
      <c r="AN184" s="425"/>
      <c r="AO184" s="421">
        <f t="shared" si="86"/>
        <v>0</v>
      </c>
      <c r="AP184" s="425"/>
      <c r="AQ184" s="425"/>
      <c r="AR184" s="421">
        <f t="shared" si="87"/>
        <v>0</v>
      </c>
      <c r="AS184" s="425"/>
      <c r="AT184" s="425"/>
      <c r="AU184" s="421">
        <f t="shared" si="88"/>
        <v>0</v>
      </c>
      <c r="AV184" s="425"/>
      <c r="AW184" s="425"/>
      <c r="AX184" s="421">
        <f t="shared" si="89"/>
        <v>0</v>
      </c>
      <c r="AY184" s="425"/>
      <c r="AZ184" s="425"/>
      <c r="BA184" s="421">
        <f t="shared" si="90"/>
        <v>0</v>
      </c>
      <c r="BB184" s="425"/>
      <c r="BC184" s="425"/>
      <c r="BD184" s="421">
        <f t="shared" si="91"/>
        <v>0</v>
      </c>
    </row>
    <row r="185" spans="1:56">
      <c r="A185" s="251"/>
      <c r="B185" s="259" t="s">
        <v>197</v>
      </c>
      <c r="C185" s="249">
        <v>1368</v>
      </c>
      <c r="D185" s="249">
        <v>1368</v>
      </c>
      <c r="E185" s="508">
        <f t="shared" si="96"/>
        <v>0</v>
      </c>
      <c r="F185" s="249">
        <v>3600</v>
      </c>
      <c r="G185" s="249">
        <v>3600</v>
      </c>
      <c r="H185" s="437">
        <f t="shared" si="97"/>
        <v>0</v>
      </c>
      <c r="I185" s="249"/>
      <c r="J185" s="249"/>
      <c r="K185" s="437">
        <f t="shared" si="98"/>
        <v>0</v>
      </c>
      <c r="L185" s="249"/>
      <c r="M185" s="249"/>
      <c r="N185" s="250">
        <f t="shared" si="99"/>
        <v>0</v>
      </c>
      <c r="O185" s="249"/>
      <c r="P185" s="249"/>
      <c r="Q185" s="250">
        <f t="shared" si="78"/>
        <v>0</v>
      </c>
      <c r="R185" s="249"/>
      <c r="S185" s="249"/>
      <c r="T185" s="250">
        <f t="shared" si="79"/>
        <v>0</v>
      </c>
      <c r="U185" s="249"/>
      <c r="V185" s="249"/>
      <c r="W185" s="250">
        <f t="shared" si="80"/>
        <v>0</v>
      </c>
      <c r="X185" s="249"/>
      <c r="Y185" s="249"/>
      <c r="Z185" s="250">
        <f t="shared" si="81"/>
        <v>0</v>
      </c>
      <c r="AA185" s="249"/>
      <c r="AB185" s="249"/>
      <c r="AC185" s="250">
        <f t="shared" si="82"/>
        <v>0</v>
      </c>
      <c r="AD185" s="249"/>
      <c r="AE185" s="249"/>
      <c r="AF185" s="250">
        <f t="shared" si="83"/>
        <v>0</v>
      </c>
      <c r="AG185" s="249"/>
      <c r="AH185" s="249"/>
      <c r="AI185" s="250">
        <f t="shared" si="84"/>
        <v>0</v>
      </c>
      <c r="AJ185" s="249"/>
      <c r="AK185" s="249"/>
      <c r="AL185" s="250">
        <f t="shared" si="85"/>
        <v>0</v>
      </c>
      <c r="AM185" s="249"/>
      <c r="AN185" s="249"/>
      <c r="AO185" s="250">
        <f t="shared" si="86"/>
        <v>0</v>
      </c>
      <c r="AP185" s="249"/>
      <c r="AQ185" s="249"/>
      <c r="AR185" s="250">
        <f t="shared" si="87"/>
        <v>0</v>
      </c>
      <c r="AS185" s="249"/>
      <c r="AT185" s="249"/>
      <c r="AU185" s="250">
        <f t="shared" si="88"/>
        <v>0</v>
      </c>
      <c r="AV185" s="249"/>
      <c r="AW185" s="249"/>
      <c r="AX185" s="250">
        <f t="shared" si="89"/>
        <v>0</v>
      </c>
      <c r="AY185" s="249"/>
      <c r="AZ185" s="249"/>
      <c r="BA185" s="250">
        <f t="shared" si="90"/>
        <v>0</v>
      </c>
      <c r="BB185" s="249"/>
      <c r="BC185" s="249"/>
      <c r="BD185" s="250">
        <f t="shared" si="91"/>
        <v>0</v>
      </c>
    </row>
    <row r="186" spans="1:56">
      <c r="A186" s="251"/>
      <c r="B186" s="259" t="s">
        <v>326</v>
      </c>
      <c r="C186" s="249">
        <v>1125</v>
      </c>
      <c r="D186" s="249">
        <v>1125</v>
      </c>
      <c r="E186" s="508">
        <f t="shared" si="96"/>
        <v>0</v>
      </c>
      <c r="F186" s="249">
        <v>2250</v>
      </c>
      <c r="G186" s="249">
        <v>2250</v>
      </c>
      <c r="H186" s="437">
        <f t="shared" si="97"/>
        <v>0</v>
      </c>
      <c r="I186" s="249"/>
      <c r="J186" s="249"/>
      <c r="K186" s="437">
        <f t="shared" si="98"/>
        <v>0</v>
      </c>
      <c r="L186" s="249"/>
      <c r="M186" s="249"/>
      <c r="N186" s="250">
        <f t="shared" si="99"/>
        <v>0</v>
      </c>
      <c r="O186" s="249"/>
      <c r="P186" s="249"/>
      <c r="Q186" s="250">
        <f t="shared" si="78"/>
        <v>0</v>
      </c>
      <c r="R186" s="249"/>
      <c r="S186" s="249"/>
      <c r="T186" s="250">
        <f t="shared" si="79"/>
        <v>0</v>
      </c>
      <c r="U186" s="249"/>
      <c r="V186" s="249"/>
      <c r="W186" s="250">
        <f t="shared" si="80"/>
        <v>0</v>
      </c>
      <c r="X186" s="249"/>
      <c r="Y186" s="249"/>
      <c r="Z186" s="250">
        <f t="shared" si="81"/>
        <v>0</v>
      </c>
      <c r="AA186" s="249"/>
      <c r="AB186" s="249"/>
      <c r="AC186" s="250">
        <f t="shared" si="82"/>
        <v>0</v>
      </c>
      <c r="AD186" s="249"/>
      <c r="AE186" s="249"/>
      <c r="AF186" s="250">
        <f t="shared" si="83"/>
        <v>0</v>
      </c>
      <c r="AG186" s="249"/>
      <c r="AH186" s="249"/>
      <c r="AI186" s="250">
        <f t="shared" si="84"/>
        <v>0</v>
      </c>
      <c r="AJ186" s="249"/>
      <c r="AK186" s="249"/>
      <c r="AL186" s="250">
        <f t="shared" si="85"/>
        <v>0</v>
      </c>
      <c r="AM186" s="249"/>
      <c r="AN186" s="249"/>
      <c r="AO186" s="250">
        <f t="shared" si="86"/>
        <v>0</v>
      </c>
      <c r="AP186" s="249"/>
      <c r="AQ186" s="249"/>
      <c r="AR186" s="250">
        <f t="shared" si="87"/>
        <v>0</v>
      </c>
      <c r="AS186" s="249"/>
      <c r="AT186" s="249"/>
      <c r="AU186" s="250">
        <f t="shared" si="88"/>
        <v>0</v>
      </c>
      <c r="AV186" s="249"/>
      <c r="AW186" s="249"/>
      <c r="AX186" s="250">
        <f t="shared" si="89"/>
        <v>0</v>
      </c>
      <c r="AY186" s="249"/>
      <c r="AZ186" s="249"/>
      <c r="BA186" s="250">
        <f t="shared" si="90"/>
        <v>0</v>
      </c>
      <c r="BB186" s="249"/>
      <c r="BC186" s="249"/>
      <c r="BD186" s="250">
        <f t="shared" si="91"/>
        <v>0</v>
      </c>
    </row>
    <row r="187" spans="1:56">
      <c r="A187" s="251"/>
      <c r="B187" s="259" t="s">
        <v>327</v>
      </c>
      <c r="C187" s="249"/>
      <c r="D187" s="249"/>
      <c r="E187" s="508"/>
      <c r="F187" s="249"/>
      <c r="G187" s="249"/>
      <c r="H187" s="437">
        <f t="shared" si="97"/>
        <v>0</v>
      </c>
      <c r="I187" s="249"/>
      <c r="J187" s="249"/>
      <c r="K187" s="437">
        <f t="shared" si="98"/>
        <v>0</v>
      </c>
      <c r="L187" s="249"/>
      <c r="M187" s="249"/>
      <c r="N187" s="250">
        <f t="shared" si="99"/>
        <v>0</v>
      </c>
      <c r="O187" s="249"/>
      <c r="P187" s="249"/>
      <c r="Q187" s="250">
        <f t="shared" si="78"/>
        <v>0</v>
      </c>
      <c r="R187" s="249"/>
      <c r="S187" s="249"/>
      <c r="T187" s="250">
        <f t="shared" si="79"/>
        <v>0</v>
      </c>
      <c r="U187" s="249"/>
      <c r="V187" s="249"/>
      <c r="W187" s="250">
        <f t="shared" si="80"/>
        <v>0</v>
      </c>
      <c r="X187" s="249"/>
      <c r="Y187" s="249"/>
      <c r="Z187" s="250">
        <f t="shared" si="81"/>
        <v>0</v>
      </c>
      <c r="AA187" s="249"/>
      <c r="AB187" s="249"/>
      <c r="AC187" s="250">
        <f t="shared" si="82"/>
        <v>0</v>
      </c>
      <c r="AD187" s="249"/>
      <c r="AE187" s="249"/>
      <c r="AF187" s="250">
        <f t="shared" si="83"/>
        <v>0</v>
      </c>
      <c r="AG187" s="249"/>
      <c r="AH187" s="249"/>
      <c r="AI187" s="250">
        <f t="shared" si="84"/>
        <v>0</v>
      </c>
      <c r="AJ187" s="249"/>
      <c r="AK187" s="249"/>
      <c r="AL187" s="250">
        <f t="shared" si="85"/>
        <v>0</v>
      </c>
      <c r="AM187" s="249"/>
      <c r="AN187" s="249"/>
      <c r="AO187" s="250">
        <f t="shared" si="86"/>
        <v>0</v>
      </c>
      <c r="AP187" s="249"/>
      <c r="AQ187" s="249"/>
      <c r="AR187" s="250">
        <f t="shared" si="87"/>
        <v>0</v>
      </c>
      <c r="AS187" s="249"/>
      <c r="AT187" s="249"/>
      <c r="AU187" s="250">
        <f t="shared" si="88"/>
        <v>0</v>
      </c>
      <c r="AV187" s="249"/>
      <c r="AW187" s="249"/>
      <c r="AX187" s="250">
        <f t="shared" si="89"/>
        <v>0</v>
      </c>
      <c r="AY187" s="249"/>
      <c r="AZ187" s="249"/>
      <c r="BA187" s="250">
        <f t="shared" si="90"/>
        <v>0</v>
      </c>
      <c r="BB187" s="249"/>
      <c r="BC187" s="249"/>
      <c r="BD187" s="250">
        <f t="shared" si="91"/>
        <v>0</v>
      </c>
    </row>
    <row r="188" spans="1:56" s="127" customFormat="1" ht="21.75" customHeight="1">
      <c r="A188" s="126"/>
      <c r="B188" s="432" t="s">
        <v>315</v>
      </c>
      <c r="C188" s="425">
        <v>1125</v>
      </c>
      <c r="D188" s="425">
        <v>1125</v>
      </c>
      <c r="E188" s="509">
        <f>IF(C188&gt;0,(((D188-C188)/C188)*100),0)</f>
        <v>0</v>
      </c>
      <c r="F188" s="425">
        <v>2250</v>
      </c>
      <c r="G188" s="425">
        <v>2250</v>
      </c>
      <c r="H188" s="438">
        <f t="shared" si="97"/>
        <v>0</v>
      </c>
      <c r="I188" s="425"/>
      <c r="J188" s="425"/>
      <c r="K188" s="438">
        <f t="shared" si="98"/>
        <v>0</v>
      </c>
      <c r="L188" s="425"/>
      <c r="M188" s="425"/>
      <c r="N188" s="421">
        <f t="shared" si="99"/>
        <v>0</v>
      </c>
      <c r="O188" s="425"/>
      <c r="P188" s="425"/>
      <c r="Q188" s="421">
        <f t="shared" si="78"/>
        <v>0</v>
      </c>
      <c r="R188" s="425"/>
      <c r="S188" s="425"/>
      <c r="T188" s="421">
        <f t="shared" si="79"/>
        <v>0</v>
      </c>
      <c r="U188" s="425"/>
      <c r="V188" s="425"/>
      <c r="W188" s="421">
        <f t="shared" si="80"/>
        <v>0</v>
      </c>
      <c r="X188" s="425"/>
      <c r="Y188" s="425"/>
      <c r="Z188" s="421">
        <f t="shared" si="81"/>
        <v>0</v>
      </c>
      <c r="AA188" s="425"/>
      <c r="AB188" s="425"/>
      <c r="AC188" s="421">
        <f t="shared" si="82"/>
        <v>0</v>
      </c>
      <c r="AD188" s="425"/>
      <c r="AE188" s="425"/>
      <c r="AF188" s="421">
        <f t="shared" si="83"/>
        <v>0</v>
      </c>
      <c r="AG188" s="425"/>
      <c r="AH188" s="425"/>
      <c r="AI188" s="421">
        <f t="shared" si="84"/>
        <v>0</v>
      </c>
      <c r="AJ188" s="425"/>
      <c r="AK188" s="425"/>
      <c r="AL188" s="421">
        <f t="shared" si="85"/>
        <v>0</v>
      </c>
      <c r="AM188" s="425"/>
      <c r="AN188" s="425"/>
      <c r="AO188" s="421">
        <f t="shared" si="86"/>
        <v>0</v>
      </c>
      <c r="AP188" s="425"/>
      <c r="AQ188" s="425"/>
      <c r="AR188" s="421">
        <f t="shared" si="87"/>
        <v>0</v>
      </c>
      <c r="AS188" s="425"/>
      <c r="AT188" s="425"/>
      <c r="AU188" s="421">
        <f t="shared" si="88"/>
        <v>0</v>
      </c>
      <c r="AV188" s="425"/>
      <c r="AW188" s="425"/>
      <c r="AX188" s="421">
        <f t="shared" si="89"/>
        <v>0</v>
      </c>
      <c r="AY188" s="425"/>
      <c r="AZ188" s="425"/>
      <c r="BA188" s="421">
        <f t="shared" si="90"/>
        <v>0</v>
      </c>
      <c r="BB188" s="425"/>
      <c r="BC188" s="425"/>
      <c r="BD188" s="421">
        <f t="shared" si="91"/>
        <v>0</v>
      </c>
    </row>
    <row r="189" spans="1:56">
      <c r="A189" s="256"/>
      <c r="B189" s="428" t="s">
        <v>198</v>
      </c>
      <c r="C189" s="257"/>
      <c r="D189" s="257"/>
      <c r="E189" s="510"/>
      <c r="F189" s="257"/>
      <c r="G189" s="257"/>
      <c r="H189" s="439"/>
      <c r="I189" s="257"/>
      <c r="J189" s="257"/>
      <c r="K189" s="439"/>
      <c r="L189" s="257"/>
      <c r="M189" s="257"/>
      <c r="N189" s="258"/>
      <c r="O189" s="257">
        <v>15836</v>
      </c>
      <c r="P189" s="257">
        <v>15986</v>
      </c>
      <c r="Q189" s="258">
        <f t="shared" si="78"/>
        <v>0.94720889113412476</v>
      </c>
      <c r="R189" s="257">
        <v>25764.5</v>
      </c>
      <c r="S189" s="257">
        <v>25914.5</v>
      </c>
      <c r="T189" s="258">
        <f t="shared" si="79"/>
        <v>0.58219643307652003</v>
      </c>
      <c r="U189" s="257">
        <v>20647.5</v>
      </c>
      <c r="V189" s="257">
        <v>20648</v>
      </c>
      <c r="W189" s="258">
        <f t="shared" si="80"/>
        <v>2.4216006780481895E-3</v>
      </c>
      <c r="X189" s="257">
        <v>44765.5</v>
      </c>
      <c r="Y189" s="257">
        <v>44766</v>
      </c>
      <c r="Z189" s="258">
        <f t="shared" si="81"/>
        <v>1.1169315656029755E-3</v>
      </c>
      <c r="AA189" s="257">
        <v>18830.5</v>
      </c>
      <c r="AB189" s="257">
        <v>18831</v>
      </c>
      <c r="AC189" s="258">
        <f t="shared" si="82"/>
        <v>2.6552667215421792E-3</v>
      </c>
      <c r="AD189" s="257">
        <v>41272.5</v>
      </c>
      <c r="AE189" s="257">
        <v>41272.5</v>
      </c>
      <c r="AF189" s="258">
        <f t="shared" si="83"/>
        <v>0</v>
      </c>
      <c r="AG189" s="257">
        <v>12246.35</v>
      </c>
      <c r="AH189" s="257">
        <v>12246.5</v>
      </c>
      <c r="AI189" s="258">
        <f t="shared" si="84"/>
        <v>1.224854752637612E-3</v>
      </c>
      <c r="AJ189" s="257">
        <v>24787.35</v>
      </c>
      <c r="AK189" s="257">
        <v>24787.5</v>
      </c>
      <c r="AL189" s="258">
        <f t="shared" si="85"/>
        <v>6.0514738365115761E-4</v>
      </c>
      <c r="AM189" s="257">
        <v>12882</v>
      </c>
      <c r="AN189" s="257">
        <v>12882</v>
      </c>
      <c r="AO189" s="258">
        <f t="shared" si="86"/>
        <v>0</v>
      </c>
      <c r="AP189" s="257">
        <v>24982</v>
      </c>
      <c r="AQ189" s="257">
        <v>24982</v>
      </c>
      <c r="AR189" s="258">
        <f t="shared" si="87"/>
        <v>0</v>
      </c>
      <c r="AS189" s="257">
        <v>19290.650000000001</v>
      </c>
      <c r="AT189" s="257">
        <v>19291</v>
      </c>
      <c r="AU189" s="258">
        <f t="shared" si="88"/>
        <v>1.8143504754818776E-3</v>
      </c>
      <c r="AV189" s="257">
        <v>37212.5</v>
      </c>
      <c r="AW189" s="257">
        <v>37213</v>
      </c>
      <c r="AX189" s="258">
        <f t="shared" si="89"/>
        <v>1.3436345314074571E-3</v>
      </c>
      <c r="AY189" s="257">
        <v>14294.86</v>
      </c>
      <c r="AZ189" s="257">
        <v>14295</v>
      </c>
      <c r="BA189" s="258">
        <f t="shared" si="90"/>
        <v>9.7937300539786961E-4</v>
      </c>
      <c r="BB189" s="257">
        <v>31570.16</v>
      </c>
      <c r="BC189" s="257">
        <v>31570</v>
      </c>
      <c r="BD189" s="258">
        <f t="shared" si="91"/>
        <v>-5.0680769435395483E-4</v>
      </c>
    </row>
    <row r="190" spans="1:56">
      <c r="A190" s="247" t="s">
        <v>646</v>
      </c>
      <c r="B190" s="259" t="s">
        <v>384</v>
      </c>
      <c r="C190" s="249">
        <v>9608</v>
      </c>
      <c r="D190" s="249">
        <v>10117</v>
      </c>
      <c r="E190" s="508">
        <f t="shared" ref="E190:E203" si="100">IF(C190&gt;0,(((D190-C190)/C190)*100),0)</f>
        <v>5.2976686094920904</v>
      </c>
      <c r="F190" s="249">
        <v>23154</v>
      </c>
      <c r="G190" s="249">
        <v>24560</v>
      </c>
      <c r="H190" s="437">
        <f t="shared" ref="H190:H205" si="101">IF(F190&gt;0,(((G190-F190)/F190)*100),0)</f>
        <v>6.0723849010970028</v>
      </c>
      <c r="I190" s="249">
        <v>8540</v>
      </c>
      <c r="J190" s="249">
        <v>8959</v>
      </c>
      <c r="K190" s="437">
        <f t="shared" ref="K190:K205" si="102">IF(I190&gt;0,(((J190-I190)/I190)*100),0)</f>
        <v>4.9063231850117095</v>
      </c>
      <c r="L190" s="249">
        <v>17710</v>
      </c>
      <c r="M190" s="249">
        <v>18429</v>
      </c>
      <c r="N190" s="250">
        <f t="shared" ref="N190:N205" si="103">IF(L190&gt;0,(((M190-L190)/L190)*100),0)</f>
        <v>4.0598531902879733</v>
      </c>
      <c r="O190" s="249"/>
      <c r="P190" s="249"/>
      <c r="Q190" s="250">
        <f t="shared" si="78"/>
        <v>0</v>
      </c>
      <c r="R190" s="249"/>
      <c r="S190" s="249"/>
      <c r="T190" s="250">
        <f t="shared" si="79"/>
        <v>0</v>
      </c>
      <c r="U190" s="249"/>
      <c r="V190" s="249"/>
      <c r="W190" s="250">
        <f t="shared" si="80"/>
        <v>0</v>
      </c>
      <c r="X190" s="249"/>
      <c r="Y190" s="249"/>
      <c r="Z190" s="250">
        <f t="shared" si="81"/>
        <v>0</v>
      </c>
      <c r="AA190" s="249"/>
      <c r="AB190" s="249"/>
      <c r="AC190" s="250">
        <f t="shared" si="82"/>
        <v>0</v>
      </c>
      <c r="AD190" s="249"/>
      <c r="AE190" s="249"/>
      <c r="AF190" s="250">
        <f t="shared" si="83"/>
        <v>0</v>
      </c>
      <c r="AG190" s="249"/>
      <c r="AH190" s="249"/>
      <c r="AI190" s="250">
        <f t="shared" si="84"/>
        <v>0</v>
      </c>
      <c r="AJ190" s="249"/>
      <c r="AK190" s="249"/>
      <c r="AL190" s="250">
        <f t="shared" si="85"/>
        <v>0</v>
      </c>
      <c r="AM190" s="249"/>
      <c r="AN190" s="249"/>
      <c r="AO190" s="250">
        <f t="shared" si="86"/>
        <v>0</v>
      </c>
      <c r="AP190" s="249"/>
      <c r="AQ190" s="249"/>
      <c r="AR190" s="250">
        <f t="shared" si="87"/>
        <v>0</v>
      </c>
      <c r="AS190" s="249"/>
      <c r="AT190" s="249"/>
      <c r="AU190" s="250">
        <f t="shared" si="88"/>
        <v>0</v>
      </c>
      <c r="AV190" s="249"/>
      <c r="AW190" s="249"/>
      <c r="AX190" s="250">
        <f t="shared" si="89"/>
        <v>0</v>
      </c>
      <c r="AY190" s="249"/>
      <c r="AZ190" s="249"/>
      <c r="BA190" s="250">
        <f t="shared" si="90"/>
        <v>0</v>
      </c>
      <c r="BB190" s="249"/>
      <c r="BC190" s="249"/>
      <c r="BD190" s="250">
        <f t="shared" si="91"/>
        <v>0</v>
      </c>
    </row>
    <row r="191" spans="1:56">
      <c r="A191" s="251"/>
      <c r="B191" s="259" t="s">
        <v>385</v>
      </c>
      <c r="C191" s="249"/>
      <c r="D191" s="249"/>
      <c r="E191" s="508">
        <f t="shared" si="100"/>
        <v>0</v>
      </c>
      <c r="F191" s="249"/>
      <c r="G191" s="249"/>
      <c r="H191" s="437">
        <f t="shared" si="101"/>
        <v>0</v>
      </c>
      <c r="I191" s="249"/>
      <c r="J191" s="249"/>
      <c r="K191" s="437">
        <f t="shared" si="102"/>
        <v>0</v>
      </c>
      <c r="L191" s="249"/>
      <c r="M191" s="249"/>
      <c r="N191" s="250">
        <f t="shared" si="103"/>
        <v>0</v>
      </c>
      <c r="O191" s="249"/>
      <c r="P191" s="249"/>
      <c r="Q191" s="250">
        <f t="shared" si="78"/>
        <v>0</v>
      </c>
      <c r="R191" s="249"/>
      <c r="S191" s="249"/>
      <c r="T191" s="250">
        <f t="shared" si="79"/>
        <v>0</v>
      </c>
      <c r="U191" s="249"/>
      <c r="V191" s="249"/>
      <c r="W191" s="250">
        <f t="shared" si="80"/>
        <v>0</v>
      </c>
      <c r="X191" s="249"/>
      <c r="Y191" s="249"/>
      <c r="Z191" s="250">
        <f t="shared" si="81"/>
        <v>0</v>
      </c>
      <c r="AA191" s="249"/>
      <c r="AB191" s="249"/>
      <c r="AC191" s="250">
        <f t="shared" si="82"/>
        <v>0</v>
      </c>
      <c r="AD191" s="249"/>
      <c r="AE191" s="249"/>
      <c r="AF191" s="250">
        <f t="shared" si="83"/>
        <v>0</v>
      </c>
      <c r="AG191" s="249"/>
      <c r="AH191" s="249"/>
      <c r="AI191" s="250">
        <f t="shared" si="84"/>
        <v>0</v>
      </c>
      <c r="AJ191" s="249"/>
      <c r="AK191" s="249"/>
      <c r="AL191" s="250">
        <f t="shared" si="85"/>
        <v>0</v>
      </c>
      <c r="AM191" s="249"/>
      <c r="AN191" s="249"/>
      <c r="AO191" s="250">
        <f t="shared" si="86"/>
        <v>0</v>
      </c>
      <c r="AP191" s="249"/>
      <c r="AQ191" s="249"/>
      <c r="AR191" s="250">
        <f t="shared" si="87"/>
        <v>0</v>
      </c>
      <c r="AS191" s="249"/>
      <c r="AT191" s="249"/>
      <c r="AU191" s="250">
        <f t="shared" si="88"/>
        <v>0</v>
      </c>
      <c r="AV191" s="249"/>
      <c r="AW191" s="249"/>
      <c r="AX191" s="250">
        <f t="shared" si="89"/>
        <v>0</v>
      </c>
      <c r="AY191" s="249"/>
      <c r="AZ191" s="249"/>
      <c r="BA191" s="250">
        <f t="shared" si="90"/>
        <v>0</v>
      </c>
      <c r="BB191" s="249"/>
      <c r="BC191" s="249"/>
      <c r="BD191" s="250">
        <f t="shared" si="91"/>
        <v>0</v>
      </c>
    </row>
    <row r="192" spans="1:56">
      <c r="A192" s="251"/>
      <c r="B192" s="259" t="s">
        <v>386</v>
      </c>
      <c r="C192" s="249">
        <v>9780</v>
      </c>
      <c r="D192" s="249">
        <v>10297</v>
      </c>
      <c r="E192" s="508">
        <f t="shared" si="100"/>
        <v>5.2862985685071573</v>
      </c>
      <c r="F192" s="249">
        <v>20564</v>
      </c>
      <c r="G192" s="249">
        <v>21721</v>
      </c>
      <c r="H192" s="437">
        <f t="shared" si="101"/>
        <v>5.6263372884652796</v>
      </c>
      <c r="I192" s="249">
        <v>9785</v>
      </c>
      <c r="J192" s="249">
        <v>10533</v>
      </c>
      <c r="K192" s="437">
        <f t="shared" si="102"/>
        <v>7.6443536024527328</v>
      </c>
      <c r="L192" s="249">
        <v>20668</v>
      </c>
      <c r="M192" s="249">
        <v>22362</v>
      </c>
      <c r="N192" s="250">
        <f t="shared" si="103"/>
        <v>8.1962454035223544</v>
      </c>
      <c r="O192" s="249"/>
      <c r="P192" s="249"/>
      <c r="Q192" s="250">
        <f t="shared" si="78"/>
        <v>0</v>
      </c>
      <c r="R192" s="249"/>
      <c r="S192" s="249"/>
      <c r="T192" s="250">
        <f t="shared" si="79"/>
        <v>0</v>
      </c>
      <c r="U192" s="249"/>
      <c r="V192" s="249"/>
      <c r="W192" s="250">
        <f t="shared" si="80"/>
        <v>0</v>
      </c>
      <c r="X192" s="249"/>
      <c r="Y192" s="249"/>
      <c r="Z192" s="250">
        <f t="shared" si="81"/>
        <v>0</v>
      </c>
      <c r="AA192" s="249"/>
      <c r="AB192" s="249"/>
      <c r="AC192" s="250">
        <f t="shared" si="82"/>
        <v>0</v>
      </c>
      <c r="AD192" s="249"/>
      <c r="AE192" s="249"/>
      <c r="AF192" s="250">
        <f t="shared" si="83"/>
        <v>0</v>
      </c>
      <c r="AG192" s="249"/>
      <c r="AH192" s="249"/>
      <c r="AI192" s="250">
        <f t="shared" si="84"/>
        <v>0</v>
      </c>
      <c r="AJ192" s="249"/>
      <c r="AK192" s="249"/>
      <c r="AL192" s="250">
        <f t="shared" si="85"/>
        <v>0</v>
      </c>
      <c r="AM192" s="249"/>
      <c r="AN192" s="249"/>
      <c r="AO192" s="250">
        <f t="shared" si="86"/>
        <v>0</v>
      </c>
      <c r="AP192" s="249"/>
      <c r="AQ192" s="249"/>
      <c r="AR192" s="250">
        <f t="shared" si="87"/>
        <v>0</v>
      </c>
      <c r="AS192" s="249"/>
      <c r="AT192" s="249"/>
      <c r="AU192" s="250">
        <f t="shared" si="88"/>
        <v>0</v>
      </c>
      <c r="AV192" s="249"/>
      <c r="AW192" s="249"/>
      <c r="AX192" s="250">
        <f t="shared" si="89"/>
        <v>0</v>
      </c>
      <c r="AY192" s="249"/>
      <c r="AZ192" s="249"/>
      <c r="BA192" s="250">
        <f t="shared" si="90"/>
        <v>0</v>
      </c>
      <c r="BB192" s="249"/>
      <c r="BC192" s="249"/>
      <c r="BD192" s="250">
        <f t="shared" si="91"/>
        <v>0</v>
      </c>
    </row>
    <row r="193" spans="1:56">
      <c r="A193" s="251"/>
      <c r="B193" s="259" t="s">
        <v>387</v>
      </c>
      <c r="C193" s="249">
        <v>8428</v>
      </c>
      <c r="D193" s="249">
        <v>8735</v>
      </c>
      <c r="E193" s="508">
        <f t="shared" si="100"/>
        <v>3.6426198386331281</v>
      </c>
      <c r="F193" s="249">
        <v>21031</v>
      </c>
      <c r="G193" s="249">
        <v>22545</v>
      </c>
      <c r="H193" s="437">
        <f t="shared" si="101"/>
        <v>7.1988968665303608</v>
      </c>
      <c r="I193" s="249">
        <v>7815</v>
      </c>
      <c r="J193" s="249">
        <v>9685</v>
      </c>
      <c r="K193" s="466">
        <f t="shared" si="102"/>
        <v>23.928342930262318</v>
      </c>
      <c r="L193" s="249">
        <v>12831</v>
      </c>
      <c r="M193" s="249">
        <v>15853</v>
      </c>
      <c r="N193" s="466">
        <f t="shared" si="103"/>
        <v>23.552334190632063</v>
      </c>
      <c r="O193" s="249"/>
      <c r="P193" s="249"/>
      <c r="Q193" s="250">
        <f t="shared" si="78"/>
        <v>0</v>
      </c>
      <c r="R193" s="249"/>
      <c r="S193" s="249"/>
      <c r="T193" s="250">
        <f t="shared" si="79"/>
        <v>0</v>
      </c>
      <c r="U193" s="249"/>
      <c r="V193" s="249"/>
      <c r="W193" s="250">
        <f t="shared" si="80"/>
        <v>0</v>
      </c>
      <c r="X193" s="249"/>
      <c r="Y193" s="249"/>
      <c r="Z193" s="250">
        <f t="shared" si="81"/>
        <v>0</v>
      </c>
      <c r="AA193" s="249"/>
      <c r="AB193" s="249"/>
      <c r="AC193" s="250">
        <f t="shared" si="82"/>
        <v>0</v>
      </c>
      <c r="AD193" s="249"/>
      <c r="AE193" s="249"/>
      <c r="AF193" s="250">
        <f t="shared" si="83"/>
        <v>0</v>
      </c>
      <c r="AG193" s="249"/>
      <c r="AH193" s="249"/>
      <c r="AI193" s="250">
        <f t="shared" si="84"/>
        <v>0</v>
      </c>
      <c r="AJ193" s="249"/>
      <c r="AK193" s="249"/>
      <c r="AL193" s="250">
        <f t="shared" si="85"/>
        <v>0</v>
      </c>
      <c r="AM193" s="249"/>
      <c r="AN193" s="249"/>
      <c r="AO193" s="250">
        <f t="shared" si="86"/>
        <v>0</v>
      </c>
      <c r="AP193" s="249"/>
      <c r="AQ193" s="249"/>
      <c r="AR193" s="250">
        <f t="shared" si="87"/>
        <v>0</v>
      </c>
      <c r="AS193" s="249"/>
      <c r="AT193" s="249"/>
      <c r="AU193" s="250">
        <f t="shared" si="88"/>
        <v>0</v>
      </c>
      <c r="AV193" s="249"/>
      <c r="AW193" s="249"/>
      <c r="AX193" s="250">
        <f t="shared" si="89"/>
        <v>0</v>
      </c>
      <c r="AY193" s="249"/>
      <c r="AZ193" s="249"/>
      <c r="BA193" s="250">
        <f t="shared" si="90"/>
        <v>0</v>
      </c>
      <c r="BB193" s="249"/>
      <c r="BC193" s="249"/>
      <c r="BD193" s="250">
        <f t="shared" si="91"/>
        <v>0</v>
      </c>
    </row>
    <row r="194" spans="1:56">
      <c r="A194" s="251"/>
      <c r="B194" s="259" t="s">
        <v>388</v>
      </c>
      <c r="C194" s="249">
        <v>7806</v>
      </c>
      <c r="D194" s="249">
        <v>8462</v>
      </c>
      <c r="E194" s="508">
        <f t="shared" si="100"/>
        <v>8.4037919549064828</v>
      </c>
      <c r="F194" s="249">
        <v>15298</v>
      </c>
      <c r="G194" s="249">
        <v>16626</v>
      </c>
      <c r="H194" s="437">
        <f t="shared" si="101"/>
        <v>8.6808733167734342</v>
      </c>
      <c r="I194" s="249">
        <v>7806</v>
      </c>
      <c r="J194" s="249">
        <v>8160</v>
      </c>
      <c r="K194" s="437">
        <f t="shared" si="102"/>
        <v>4.5349730976172173</v>
      </c>
      <c r="L194" s="249">
        <v>15298</v>
      </c>
      <c r="M194" s="249">
        <v>15985</v>
      </c>
      <c r="N194" s="250">
        <f t="shared" si="103"/>
        <v>4.4907831089031243</v>
      </c>
      <c r="O194" s="249"/>
      <c r="P194" s="249"/>
      <c r="Q194" s="250">
        <f t="shared" si="78"/>
        <v>0</v>
      </c>
      <c r="R194" s="249"/>
      <c r="S194" s="249"/>
      <c r="T194" s="250">
        <f t="shared" si="79"/>
        <v>0</v>
      </c>
      <c r="U194" s="249"/>
      <c r="V194" s="249"/>
      <c r="W194" s="250">
        <f t="shared" si="80"/>
        <v>0</v>
      </c>
      <c r="X194" s="249"/>
      <c r="Y194" s="249"/>
      <c r="Z194" s="250">
        <f t="shared" si="81"/>
        <v>0</v>
      </c>
      <c r="AA194" s="249"/>
      <c r="AB194" s="249"/>
      <c r="AC194" s="250">
        <f t="shared" si="82"/>
        <v>0</v>
      </c>
      <c r="AD194" s="249"/>
      <c r="AE194" s="249"/>
      <c r="AF194" s="250">
        <f t="shared" si="83"/>
        <v>0</v>
      </c>
      <c r="AG194" s="249"/>
      <c r="AH194" s="249"/>
      <c r="AI194" s="250">
        <f t="shared" si="84"/>
        <v>0</v>
      </c>
      <c r="AJ194" s="249"/>
      <c r="AK194" s="249"/>
      <c r="AL194" s="250">
        <f t="shared" si="85"/>
        <v>0</v>
      </c>
      <c r="AM194" s="249"/>
      <c r="AN194" s="249"/>
      <c r="AO194" s="250">
        <f t="shared" si="86"/>
        <v>0</v>
      </c>
      <c r="AP194" s="249"/>
      <c r="AQ194" s="249"/>
      <c r="AR194" s="250">
        <f t="shared" si="87"/>
        <v>0</v>
      </c>
      <c r="AS194" s="249"/>
      <c r="AT194" s="249"/>
      <c r="AU194" s="250">
        <f t="shared" si="88"/>
        <v>0</v>
      </c>
      <c r="AV194" s="249"/>
      <c r="AW194" s="249"/>
      <c r="AX194" s="250">
        <f t="shared" si="89"/>
        <v>0</v>
      </c>
      <c r="AY194" s="249"/>
      <c r="AZ194" s="249"/>
      <c r="BA194" s="250">
        <f t="shared" si="90"/>
        <v>0</v>
      </c>
      <c r="BB194" s="249"/>
      <c r="BC194" s="249"/>
      <c r="BD194" s="250">
        <f t="shared" si="91"/>
        <v>0</v>
      </c>
    </row>
    <row r="195" spans="1:56">
      <c r="A195" s="251"/>
      <c r="B195" s="259" t="s">
        <v>389</v>
      </c>
      <c r="C195" s="249">
        <v>8342</v>
      </c>
      <c r="D195" s="249">
        <v>8642</v>
      </c>
      <c r="E195" s="508">
        <f t="shared" si="100"/>
        <v>3.5962598897146965</v>
      </c>
      <c r="F195" s="249">
        <v>15840</v>
      </c>
      <c r="G195" s="249">
        <v>16560</v>
      </c>
      <c r="H195" s="437">
        <f t="shared" si="101"/>
        <v>4.5454545454545459</v>
      </c>
      <c r="I195" s="249">
        <v>9836</v>
      </c>
      <c r="J195" s="249">
        <v>10188</v>
      </c>
      <c r="K195" s="437">
        <f t="shared" si="102"/>
        <v>3.578690524603497</v>
      </c>
      <c r="L195" s="249">
        <v>20736</v>
      </c>
      <c r="M195" s="249">
        <v>21480</v>
      </c>
      <c r="N195" s="250">
        <f t="shared" si="103"/>
        <v>3.5879629629629628</v>
      </c>
      <c r="O195" s="249"/>
      <c r="P195" s="249"/>
      <c r="Q195" s="250">
        <f t="shared" si="78"/>
        <v>0</v>
      </c>
      <c r="R195" s="249"/>
      <c r="S195" s="249"/>
      <c r="T195" s="250">
        <f t="shared" si="79"/>
        <v>0</v>
      </c>
      <c r="U195" s="249"/>
      <c r="V195" s="249"/>
      <c r="W195" s="250">
        <f t="shared" si="80"/>
        <v>0</v>
      </c>
      <c r="X195" s="249"/>
      <c r="Y195" s="249"/>
      <c r="Z195" s="250">
        <f t="shared" si="81"/>
        <v>0</v>
      </c>
      <c r="AA195" s="249"/>
      <c r="AB195" s="249"/>
      <c r="AC195" s="250">
        <f t="shared" si="82"/>
        <v>0</v>
      </c>
      <c r="AD195" s="249"/>
      <c r="AE195" s="249"/>
      <c r="AF195" s="250">
        <f t="shared" si="83"/>
        <v>0</v>
      </c>
      <c r="AG195" s="249"/>
      <c r="AH195" s="249"/>
      <c r="AI195" s="250">
        <f t="shared" si="84"/>
        <v>0</v>
      </c>
      <c r="AJ195" s="249"/>
      <c r="AK195" s="249"/>
      <c r="AL195" s="250">
        <f t="shared" si="85"/>
        <v>0</v>
      </c>
      <c r="AM195" s="249"/>
      <c r="AN195" s="249"/>
      <c r="AO195" s="250">
        <f t="shared" si="86"/>
        <v>0</v>
      </c>
      <c r="AP195" s="249"/>
      <c r="AQ195" s="249"/>
      <c r="AR195" s="250">
        <f t="shared" si="87"/>
        <v>0</v>
      </c>
      <c r="AS195" s="249"/>
      <c r="AT195" s="249"/>
      <c r="AU195" s="250">
        <f t="shared" si="88"/>
        <v>0</v>
      </c>
      <c r="AV195" s="249"/>
      <c r="AW195" s="249"/>
      <c r="AX195" s="250">
        <f t="shared" si="89"/>
        <v>0</v>
      </c>
      <c r="AY195" s="249"/>
      <c r="AZ195" s="249"/>
      <c r="BA195" s="250">
        <f t="shared" si="90"/>
        <v>0</v>
      </c>
      <c r="BB195" s="249"/>
      <c r="BC195" s="249"/>
      <c r="BD195" s="250">
        <f t="shared" si="91"/>
        <v>0</v>
      </c>
    </row>
    <row r="196" spans="1:56" s="255" customFormat="1" ht="19.5" customHeight="1">
      <c r="A196" s="252"/>
      <c r="B196" s="431" t="s">
        <v>221</v>
      </c>
      <c r="C196" s="425">
        <v>8400</v>
      </c>
      <c r="D196" s="425">
        <v>8760</v>
      </c>
      <c r="E196" s="509">
        <f t="shared" si="100"/>
        <v>4.2857142857142856</v>
      </c>
      <c r="F196" s="425">
        <v>18090</v>
      </c>
      <c r="G196" s="425">
        <v>18770</v>
      </c>
      <c r="H196" s="438">
        <f t="shared" si="101"/>
        <v>3.7589828634604756</v>
      </c>
      <c r="I196" s="425">
        <v>8820</v>
      </c>
      <c r="J196" s="425">
        <v>9685</v>
      </c>
      <c r="K196" s="438">
        <f t="shared" si="102"/>
        <v>9.8072562358276638</v>
      </c>
      <c r="L196" s="425">
        <v>17496</v>
      </c>
      <c r="M196" s="425">
        <v>18288</v>
      </c>
      <c r="N196" s="421">
        <f t="shared" si="103"/>
        <v>4.5267489711934159</v>
      </c>
      <c r="O196" s="425"/>
      <c r="P196" s="425"/>
      <c r="Q196" s="421">
        <f t="shared" si="78"/>
        <v>0</v>
      </c>
      <c r="R196" s="425"/>
      <c r="S196" s="425"/>
      <c r="T196" s="421">
        <f t="shared" si="79"/>
        <v>0</v>
      </c>
      <c r="U196" s="425"/>
      <c r="V196" s="425"/>
      <c r="W196" s="421">
        <f t="shared" si="80"/>
        <v>0</v>
      </c>
      <c r="X196" s="425"/>
      <c r="Y196" s="425"/>
      <c r="Z196" s="421">
        <f t="shared" si="81"/>
        <v>0</v>
      </c>
      <c r="AA196" s="425"/>
      <c r="AB196" s="425"/>
      <c r="AC196" s="421">
        <f t="shared" si="82"/>
        <v>0</v>
      </c>
      <c r="AD196" s="425"/>
      <c r="AE196" s="425"/>
      <c r="AF196" s="421">
        <f t="shared" si="83"/>
        <v>0</v>
      </c>
      <c r="AG196" s="425"/>
      <c r="AH196" s="425"/>
      <c r="AI196" s="421">
        <f t="shared" si="84"/>
        <v>0</v>
      </c>
      <c r="AJ196" s="425"/>
      <c r="AK196" s="425"/>
      <c r="AL196" s="421">
        <f t="shared" si="85"/>
        <v>0</v>
      </c>
      <c r="AM196" s="425"/>
      <c r="AN196" s="425"/>
      <c r="AO196" s="421">
        <f t="shared" si="86"/>
        <v>0</v>
      </c>
      <c r="AP196" s="425"/>
      <c r="AQ196" s="425"/>
      <c r="AR196" s="421">
        <f t="shared" si="87"/>
        <v>0</v>
      </c>
      <c r="AS196" s="425"/>
      <c r="AT196" s="425"/>
      <c r="AU196" s="421">
        <f t="shared" si="88"/>
        <v>0</v>
      </c>
      <c r="AV196" s="425"/>
      <c r="AW196" s="425"/>
      <c r="AX196" s="421">
        <f t="shared" si="89"/>
        <v>0</v>
      </c>
      <c r="AY196" s="425"/>
      <c r="AZ196" s="425"/>
      <c r="BA196" s="421">
        <f t="shared" si="90"/>
        <v>0</v>
      </c>
      <c r="BB196" s="425"/>
      <c r="BC196" s="425"/>
      <c r="BD196" s="421">
        <f t="shared" si="91"/>
        <v>0</v>
      </c>
    </row>
    <row r="197" spans="1:56">
      <c r="A197" s="251"/>
      <c r="B197" s="259" t="s">
        <v>390</v>
      </c>
      <c r="C197" s="249">
        <v>7000</v>
      </c>
      <c r="D197" s="249">
        <v>7250</v>
      </c>
      <c r="E197" s="508">
        <f t="shared" si="100"/>
        <v>3.5714285714285712</v>
      </c>
      <c r="F197" s="249">
        <v>14576</v>
      </c>
      <c r="G197" s="249">
        <v>15100</v>
      </c>
      <c r="H197" s="437">
        <f t="shared" si="101"/>
        <v>3.5949506037321624</v>
      </c>
      <c r="I197" s="249"/>
      <c r="J197" s="249"/>
      <c r="K197" s="437">
        <f t="shared" si="102"/>
        <v>0</v>
      </c>
      <c r="L197" s="249"/>
      <c r="M197" s="249"/>
      <c r="N197" s="250">
        <f t="shared" si="103"/>
        <v>0</v>
      </c>
      <c r="O197" s="249"/>
      <c r="P197" s="249"/>
      <c r="Q197" s="250">
        <f t="shared" si="78"/>
        <v>0</v>
      </c>
      <c r="R197" s="249"/>
      <c r="S197" s="249"/>
      <c r="T197" s="250">
        <f t="shared" si="79"/>
        <v>0</v>
      </c>
      <c r="U197" s="249"/>
      <c r="V197" s="249"/>
      <c r="W197" s="250">
        <f t="shared" si="80"/>
        <v>0</v>
      </c>
      <c r="X197" s="249"/>
      <c r="Y197" s="249"/>
      <c r="Z197" s="250">
        <f t="shared" si="81"/>
        <v>0</v>
      </c>
      <c r="AA197" s="249"/>
      <c r="AB197" s="249"/>
      <c r="AC197" s="250">
        <f t="shared" si="82"/>
        <v>0</v>
      </c>
      <c r="AD197" s="249"/>
      <c r="AE197" s="249"/>
      <c r="AF197" s="250">
        <f t="shared" si="83"/>
        <v>0</v>
      </c>
      <c r="AG197" s="249"/>
      <c r="AH197" s="249"/>
      <c r="AI197" s="250">
        <f t="shared" si="84"/>
        <v>0</v>
      </c>
      <c r="AJ197" s="249"/>
      <c r="AK197" s="249"/>
      <c r="AL197" s="250">
        <f t="shared" si="85"/>
        <v>0</v>
      </c>
      <c r="AM197" s="249"/>
      <c r="AN197" s="249"/>
      <c r="AO197" s="250">
        <f t="shared" si="86"/>
        <v>0</v>
      </c>
      <c r="AP197" s="249"/>
      <c r="AQ197" s="249"/>
      <c r="AR197" s="250">
        <f t="shared" si="87"/>
        <v>0</v>
      </c>
      <c r="AS197" s="249"/>
      <c r="AT197" s="249"/>
      <c r="AU197" s="250">
        <f t="shared" si="88"/>
        <v>0</v>
      </c>
      <c r="AV197" s="249"/>
      <c r="AW197" s="249"/>
      <c r="AX197" s="250">
        <f t="shared" si="89"/>
        <v>0</v>
      </c>
      <c r="AY197" s="249"/>
      <c r="AZ197" s="249"/>
      <c r="BA197" s="250">
        <f t="shared" si="90"/>
        <v>0</v>
      </c>
      <c r="BB197" s="249"/>
      <c r="BC197" s="249"/>
      <c r="BD197" s="250">
        <f t="shared" si="91"/>
        <v>0</v>
      </c>
    </row>
    <row r="198" spans="1:56">
      <c r="A198" s="251"/>
      <c r="B198" s="259" t="s">
        <v>391</v>
      </c>
      <c r="C198" s="249">
        <v>3360</v>
      </c>
      <c r="D198" s="249">
        <v>3492</v>
      </c>
      <c r="E198" s="508">
        <f t="shared" si="100"/>
        <v>3.9285714285714284</v>
      </c>
      <c r="F198" s="249">
        <v>6912</v>
      </c>
      <c r="G198" s="249">
        <v>7116</v>
      </c>
      <c r="H198" s="437">
        <f t="shared" si="101"/>
        <v>2.9513888888888888</v>
      </c>
      <c r="I198" s="249"/>
      <c r="J198" s="249"/>
      <c r="K198" s="437">
        <f t="shared" si="102"/>
        <v>0</v>
      </c>
      <c r="L198" s="249"/>
      <c r="M198" s="249"/>
      <c r="N198" s="250">
        <f t="shared" si="103"/>
        <v>0</v>
      </c>
      <c r="O198" s="249"/>
      <c r="P198" s="249"/>
      <c r="Q198" s="250">
        <f t="shared" si="78"/>
        <v>0</v>
      </c>
      <c r="R198" s="249"/>
      <c r="S198" s="249"/>
      <c r="T198" s="250">
        <f t="shared" si="79"/>
        <v>0</v>
      </c>
      <c r="U198" s="249"/>
      <c r="V198" s="249"/>
      <c r="W198" s="250">
        <f t="shared" si="80"/>
        <v>0</v>
      </c>
      <c r="X198" s="249"/>
      <c r="Y198" s="249"/>
      <c r="Z198" s="250">
        <f t="shared" si="81"/>
        <v>0</v>
      </c>
      <c r="AA198" s="249"/>
      <c r="AB198" s="249"/>
      <c r="AC198" s="250">
        <f t="shared" si="82"/>
        <v>0</v>
      </c>
      <c r="AD198" s="249"/>
      <c r="AE198" s="249"/>
      <c r="AF198" s="250">
        <f t="shared" si="83"/>
        <v>0</v>
      </c>
      <c r="AG198" s="249"/>
      <c r="AH198" s="249"/>
      <c r="AI198" s="250">
        <f t="shared" si="84"/>
        <v>0</v>
      </c>
      <c r="AJ198" s="249"/>
      <c r="AK198" s="249"/>
      <c r="AL198" s="250">
        <f t="shared" si="85"/>
        <v>0</v>
      </c>
      <c r="AM198" s="249"/>
      <c r="AN198" s="249"/>
      <c r="AO198" s="250">
        <f t="shared" si="86"/>
        <v>0</v>
      </c>
      <c r="AP198" s="249"/>
      <c r="AQ198" s="249"/>
      <c r="AR198" s="250">
        <f t="shared" si="87"/>
        <v>0</v>
      </c>
      <c r="AS198" s="249"/>
      <c r="AT198" s="249"/>
      <c r="AU198" s="250">
        <f t="shared" si="88"/>
        <v>0</v>
      </c>
      <c r="AV198" s="249"/>
      <c r="AW198" s="249"/>
      <c r="AX198" s="250">
        <f t="shared" si="89"/>
        <v>0</v>
      </c>
      <c r="AY198" s="249"/>
      <c r="AZ198" s="249"/>
      <c r="BA198" s="250">
        <f t="shared" si="90"/>
        <v>0</v>
      </c>
      <c r="BB198" s="249"/>
      <c r="BC198" s="249"/>
      <c r="BD198" s="250">
        <f t="shared" si="91"/>
        <v>0</v>
      </c>
    </row>
    <row r="199" spans="1:56">
      <c r="A199" s="251"/>
      <c r="B199" s="259" t="s">
        <v>392</v>
      </c>
      <c r="C199" s="249">
        <v>3190</v>
      </c>
      <c r="D199" s="249">
        <v>3308</v>
      </c>
      <c r="E199" s="508">
        <f t="shared" si="100"/>
        <v>3.6990595611285269</v>
      </c>
      <c r="F199" s="249">
        <v>5372</v>
      </c>
      <c r="G199" s="249">
        <v>6218</v>
      </c>
      <c r="H199" s="466">
        <f t="shared" si="101"/>
        <v>15.748324646314222</v>
      </c>
      <c r="I199" s="249"/>
      <c r="J199" s="249"/>
      <c r="K199" s="437">
        <f t="shared" si="102"/>
        <v>0</v>
      </c>
      <c r="L199" s="249"/>
      <c r="M199" s="249"/>
      <c r="N199" s="250">
        <f t="shared" si="103"/>
        <v>0</v>
      </c>
      <c r="O199" s="249"/>
      <c r="P199" s="249"/>
      <c r="Q199" s="250">
        <f t="shared" si="78"/>
        <v>0</v>
      </c>
      <c r="R199" s="249"/>
      <c r="S199" s="249"/>
      <c r="T199" s="250">
        <f t="shared" si="79"/>
        <v>0</v>
      </c>
      <c r="U199" s="249"/>
      <c r="V199" s="249"/>
      <c r="W199" s="250">
        <f t="shared" si="80"/>
        <v>0</v>
      </c>
      <c r="X199" s="249"/>
      <c r="Y199" s="249"/>
      <c r="Z199" s="250">
        <f t="shared" si="81"/>
        <v>0</v>
      </c>
      <c r="AA199" s="249"/>
      <c r="AB199" s="249"/>
      <c r="AC199" s="250">
        <f t="shared" si="82"/>
        <v>0</v>
      </c>
      <c r="AD199" s="249"/>
      <c r="AE199" s="249"/>
      <c r="AF199" s="250">
        <f t="shared" si="83"/>
        <v>0</v>
      </c>
      <c r="AG199" s="249"/>
      <c r="AH199" s="249"/>
      <c r="AI199" s="250">
        <f t="shared" si="84"/>
        <v>0</v>
      </c>
      <c r="AJ199" s="249"/>
      <c r="AK199" s="249"/>
      <c r="AL199" s="250">
        <f t="shared" si="85"/>
        <v>0</v>
      </c>
      <c r="AM199" s="249"/>
      <c r="AN199" s="249"/>
      <c r="AO199" s="250">
        <f t="shared" si="86"/>
        <v>0</v>
      </c>
      <c r="AP199" s="249"/>
      <c r="AQ199" s="249"/>
      <c r="AR199" s="250">
        <f t="shared" si="87"/>
        <v>0</v>
      </c>
      <c r="AS199" s="249"/>
      <c r="AT199" s="249"/>
      <c r="AU199" s="250">
        <f t="shared" si="88"/>
        <v>0</v>
      </c>
      <c r="AV199" s="249"/>
      <c r="AW199" s="249"/>
      <c r="AX199" s="250">
        <f t="shared" si="89"/>
        <v>0</v>
      </c>
      <c r="AY199" s="249"/>
      <c r="AZ199" s="249"/>
      <c r="BA199" s="250">
        <f t="shared" si="90"/>
        <v>0</v>
      </c>
      <c r="BB199" s="249"/>
      <c r="BC199" s="249"/>
      <c r="BD199" s="250">
        <f t="shared" si="91"/>
        <v>0</v>
      </c>
    </row>
    <row r="200" spans="1:56">
      <c r="A200" s="251"/>
      <c r="B200" s="259" t="s">
        <v>196</v>
      </c>
      <c r="C200" s="249">
        <v>4267</v>
      </c>
      <c r="D200" s="249">
        <v>4455</v>
      </c>
      <c r="E200" s="508">
        <f t="shared" si="100"/>
        <v>4.4059057886102648</v>
      </c>
      <c r="F200" s="249">
        <v>9881</v>
      </c>
      <c r="G200" s="249">
        <v>10370</v>
      </c>
      <c r="H200" s="437">
        <f t="shared" si="101"/>
        <v>4.9488918125695776</v>
      </c>
      <c r="I200" s="249"/>
      <c r="J200" s="249"/>
      <c r="K200" s="437">
        <f t="shared" si="102"/>
        <v>0</v>
      </c>
      <c r="L200" s="249"/>
      <c r="M200" s="249"/>
      <c r="N200" s="250">
        <f t="shared" si="103"/>
        <v>0</v>
      </c>
      <c r="O200" s="249"/>
      <c r="P200" s="249"/>
      <c r="Q200" s="250">
        <f t="shared" si="78"/>
        <v>0</v>
      </c>
      <c r="R200" s="249"/>
      <c r="S200" s="249"/>
      <c r="T200" s="250">
        <f t="shared" si="79"/>
        <v>0</v>
      </c>
      <c r="U200" s="249"/>
      <c r="V200" s="249"/>
      <c r="W200" s="250">
        <f t="shared" si="80"/>
        <v>0</v>
      </c>
      <c r="X200" s="249"/>
      <c r="Y200" s="249"/>
      <c r="Z200" s="250">
        <f t="shared" si="81"/>
        <v>0</v>
      </c>
      <c r="AA200" s="249"/>
      <c r="AB200" s="249"/>
      <c r="AC200" s="250">
        <f t="shared" si="82"/>
        <v>0</v>
      </c>
      <c r="AD200" s="249"/>
      <c r="AE200" s="249"/>
      <c r="AF200" s="250">
        <f t="shared" si="83"/>
        <v>0</v>
      </c>
      <c r="AG200" s="249"/>
      <c r="AH200" s="249"/>
      <c r="AI200" s="250">
        <f t="shared" si="84"/>
        <v>0</v>
      </c>
      <c r="AJ200" s="249"/>
      <c r="AK200" s="249"/>
      <c r="AL200" s="250">
        <f t="shared" si="85"/>
        <v>0</v>
      </c>
      <c r="AM200" s="249"/>
      <c r="AN200" s="249"/>
      <c r="AO200" s="250">
        <f t="shared" si="86"/>
        <v>0</v>
      </c>
      <c r="AP200" s="249"/>
      <c r="AQ200" s="249"/>
      <c r="AR200" s="250">
        <f t="shared" si="87"/>
        <v>0</v>
      </c>
      <c r="AS200" s="249"/>
      <c r="AT200" s="249"/>
      <c r="AU200" s="250">
        <f t="shared" si="88"/>
        <v>0</v>
      </c>
      <c r="AV200" s="249"/>
      <c r="AW200" s="249"/>
      <c r="AX200" s="250">
        <f t="shared" si="89"/>
        <v>0</v>
      </c>
      <c r="AY200" s="249"/>
      <c r="AZ200" s="249"/>
      <c r="BA200" s="250">
        <f t="shared" si="90"/>
        <v>0</v>
      </c>
      <c r="BB200" s="249"/>
      <c r="BC200" s="249"/>
      <c r="BD200" s="250">
        <f t="shared" si="91"/>
        <v>0</v>
      </c>
    </row>
    <row r="201" spans="1:56" s="255" customFormat="1" ht="20.25" customHeight="1">
      <c r="A201" s="252"/>
      <c r="B201" s="427" t="s">
        <v>550</v>
      </c>
      <c r="C201" s="253">
        <v>3270</v>
      </c>
      <c r="D201" s="253">
        <v>3382</v>
      </c>
      <c r="E201" s="511">
        <f t="shared" si="100"/>
        <v>3.4250764525993884</v>
      </c>
      <c r="F201" s="253">
        <v>6912</v>
      </c>
      <c r="G201" s="253">
        <v>7116</v>
      </c>
      <c r="H201" s="440">
        <f t="shared" si="101"/>
        <v>2.9513888888888888</v>
      </c>
      <c r="I201" s="253"/>
      <c r="J201" s="253"/>
      <c r="K201" s="440">
        <f t="shared" si="102"/>
        <v>0</v>
      </c>
      <c r="L201" s="253"/>
      <c r="M201" s="253"/>
      <c r="N201" s="254">
        <f t="shared" si="103"/>
        <v>0</v>
      </c>
      <c r="O201" s="253"/>
      <c r="P201" s="253"/>
      <c r="Q201" s="254">
        <f t="shared" si="78"/>
        <v>0</v>
      </c>
      <c r="R201" s="253"/>
      <c r="S201" s="253"/>
      <c r="T201" s="254">
        <f t="shared" si="79"/>
        <v>0</v>
      </c>
      <c r="U201" s="253"/>
      <c r="V201" s="253"/>
      <c r="W201" s="254">
        <f t="shared" si="80"/>
        <v>0</v>
      </c>
      <c r="X201" s="253"/>
      <c r="Y201" s="253"/>
      <c r="Z201" s="254">
        <f t="shared" si="81"/>
        <v>0</v>
      </c>
      <c r="AA201" s="253"/>
      <c r="AB201" s="253"/>
      <c r="AC201" s="254">
        <f t="shared" si="82"/>
        <v>0</v>
      </c>
      <c r="AD201" s="253"/>
      <c r="AE201" s="253"/>
      <c r="AF201" s="254">
        <f t="shared" si="83"/>
        <v>0</v>
      </c>
      <c r="AG201" s="253"/>
      <c r="AH201" s="253"/>
      <c r="AI201" s="254">
        <f t="shared" si="84"/>
        <v>0</v>
      </c>
      <c r="AJ201" s="253"/>
      <c r="AK201" s="253"/>
      <c r="AL201" s="254">
        <f t="shared" si="85"/>
        <v>0</v>
      </c>
      <c r="AM201" s="253"/>
      <c r="AN201" s="253"/>
      <c r="AO201" s="254">
        <f t="shared" si="86"/>
        <v>0</v>
      </c>
      <c r="AP201" s="253"/>
      <c r="AQ201" s="253"/>
      <c r="AR201" s="254">
        <f t="shared" si="87"/>
        <v>0</v>
      </c>
      <c r="AS201" s="253"/>
      <c r="AT201" s="253"/>
      <c r="AU201" s="254">
        <f t="shared" si="88"/>
        <v>0</v>
      </c>
      <c r="AV201" s="253"/>
      <c r="AW201" s="253"/>
      <c r="AX201" s="254">
        <f t="shared" si="89"/>
        <v>0</v>
      </c>
      <c r="AY201" s="253"/>
      <c r="AZ201" s="253"/>
      <c r="BA201" s="254">
        <f t="shared" si="90"/>
        <v>0</v>
      </c>
      <c r="BB201" s="253"/>
      <c r="BC201" s="253"/>
      <c r="BD201" s="254">
        <f t="shared" si="91"/>
        <v>0</v>
      </c>
    </row>
    <row r="202" spans="1:56">
      <c r="A202" s="251"/>
      <c r="B202" s="259" t="s">
        <v>197</v>
      </c>
      <c r="C202" s="249"/>
      <c r="D202" s="249"/>
      <c r="E202" s="508">
        <f t="shared" si="100"/>
        <v>0</v>
      </c>
      <c r="F202" s="249"/>
      <c r="G202" s="249"/>
      <c r="H202" s="437">
        <f t="shared" si="101"/>
        <v>0</v>
      </c>
      <c r="I202" s="249"/>
      <c r="J202" s="249"/>
      <c r="K202" s="437">
        <f t="shared" si="102"/>
        <v>0</v>
      </c>
      <c r="L202" s="249"/>
      <c r="M202" s="249"/>
      <c r="N202" s="250">
        <f t="shared" si="103"/>
        <v>0</v>
      </c>
      <c r="O202" s="249"/>
      <c r="P202" s="249"/>
      <c r="Q202" s="250">
        <f t="shared" si="78"/>
        <v>0</v>
      </c>
      <c r="R202" s="249"/>
      <c r="S202" s="249"/>
      <c r="T202" s="250">
        <f t="shared" si="79"/>
        <v>0</v>
      </c>
      <c r="U202" s="249"/>
      <c r="V202" s="249"/>
      <c r="W202" s="250">
        <f t="shared" si="80"/>
        <v>0</v>
      </c>
      <c r="X202" s="249"/>
      <c r="Y202" s="249"/>
      <c r="Z202" s="250">
        <f t="shared" si="81"/>
        <v>0</v>
      </c>
      <c r="AA202" s="249"/>
      <c r="AB202" s="249"/>
      <c r="AC202" s="250">
        <f t="shared" si="82"/>
        <v>0</v>
      </c>
      <c r="AD202" s="249"/>
      <c r="AE202" s="249"/>
      <c r="AF202" s="250">
        <f t="shared" si="83"/>
        <v>0</v>
      </c>
      <c r="AG202" s="249"/>
      <c r="AH202" s="249"/>
      <c r="AI202" s="250">
        <f t="shared" si="84"/>
        <v>0</v>
      </c>
      <c r="AJ202" s="249"/>
      <c r="AK202" s="249"/>
      <c r="AL202" s="250">
        <f t="shared" si="85"/>
        <v>0</v>
      </c>
      <c r="AM202" s="249"/>
      <c r="AN202" s="249"/>
      <c r="AO202" s="250">
        <f t="shared" si="86"/>
        <v>0</v>
      </c>
      <c r="AP202" s="249"/>
      <c r="AQ202" s="249"/>
      <c r="AR202" s="250">
        <f t="shared" si="87"/>
        <v>0</v>
      </c>
      <c r="AS202" s="249"/>
      <c r="AT202" s="249"/>
      <c r="AU202" s="250">
        <f t="shared" si="88"/>
        <v>0</v>
      </c>
      <c r="AV202" s="249"/>
      <c r="AW202" s="249"/>
      <c r="AX202" s="250">
        <f t="shared" si="89"/>
        <v>0</v>
      </c>
      <c r="AY202" s="249"/>
      <c r="AZ202" s="249"/>
      <c r="BA202" s="250">
        <f t="shared" si="90"/>
        <v>0</v>
      </c>
      <c r="BB202" s="249"/>
      <c r="BC202" s="249"/>
      <c r="BD202" s="250">
        <f t="shared" si="91"/>
        <v>0</v>
      </c>
    </row>
    <row r="203" spans="1:56">
      <c r="A203" s="251"/>
      <c r="B203" s="259" t="s">
        <v>326</v>
      </c>
      <c r="C203" s="249"/>
      <c r="D203" s="249"/>
      <c r="E203" s="508">
        <f t="shared" si="100"/>
        <v>0</v>
      </c>
      <c r="F203" s="249"/>
      <c r="G203" s="249"/>
      <c r="H203" s="437">
        <f t="shared" si="101"/>
        <v>0</v>
      </c>
      <c r="I203" s="249"/>
      <c r="J203" s="249"/>
      <c r="K203" s="437">
        <f t="shared" si="102"/>
        <v>0</v>
      </c>
      <c r="L203" s="249"/>
      <c r="M203" s="249"/>
      <c r="N203" s="250">
        <f t="shared" si="103"/>
        <v>0</v>
      </c>
      <c r="O203" s="249"/>
      <c r="P203" s="249"/>
      <c r="Q203" s="250">
        <f t="shared" si="78"/>
        <v>0</v>
      </c>
      <c r="R203" s="249"/>
      <c r="S203" s="249"/>
      <c r="T203" s="250">
        <f t="shared" si="79"/>
        <v>0</v>
      </c>
      <c r="U203" s="249"/>
      <c r="V203" s="249"/>
      <c r="W203" s="250">
        <f t="shared" si="80"/>
        <v>0</v>
      </c>
      <c r="X203" s="249"/>
      <c r="Y203" s="249"/>
      <c r="Z203" s="250">
        <f t="shared" si="81"/>
        <v>0</v>
      </c>
      <c r="AA203" s="249"/>
      <c r="AB203" s="249"/>
      <c r="AC203" s="250">
        <f t="shared" si="82"/>
        <v>0</v>
      </c>
      <c r="AD203" s="249"/>
      <c r="AE203" s="249"/>
      <c r="AF203" s="250">
        <f t="shared" si="83"/>
        <v>0</v>
      </c>
      <c r="AG203" s="249"/>
      <c r="AH203" s="249"/>
      <c r="AI203" s="250">
        <f t="shared" si="84"/>
        <v>0</v>
      </c>
      <c r="AJ203" s="249"/>
      <c r="AK203" s="249"/>
      <c r="AL203" s="250">
        <f t="shared" si="85"/>
        <v>0</v>
      </c>
      <c r="AM203" s="249"/>
      <c r="AN203" s="249"/>
      <c r="AO203" s="250">
        <f t="shared" si="86"/>
        <v>0</v>
      </c>
      <c r="AP203" s="249"/>
      <c r="AQ203" s="249"/>
      <c r="AR203" s="250">
        <f t="shared" si="87"/>
        <v>0</v>
      </c>
      <c r="AS203" s="249"/>
      <c r="AT203" s="249"/>
      <c r="AU203" s="250">
        <f t="shared" si="88"/>
        <v>0</v>
      </c>
      <c r="AV203" s="249"/>
      <c r="AW203" s="249"/>
      <c r="AX203" s="250">
        <f t="shared" si="89"/>
        <v>0</v>
      </c>
      <c r="AY203" s="249"/>
      <c r="AZ203" s="249"/>
      <c r="BA203" s="250">
        <f t="shared" si="90"/>
        <v>0</v>
      </c>
      <c r="BB203" s="249"/>
      <c r="BC203" s="249"/>
      <c r="BD203" s="250">
        <f t="shared" si="91"/>
        <v>0</v>
      </c>
    </row>
    <row r="204" spans="1:56">
      <c r="A204" s="251"/>
      <c r="B204" s="259" t="s">
        <v>327</v>
      </c>
      <c r="C204" s="249"/>
      <c r="D204" s="249"/>
      <c r="E204" s="508"/>
      <c r="F204" s="249"/>
      <c r="G204" s="249"/>
      <c r="H204" s="437">
        <f t="shared" si="101"/>
        <v>0</v>
      </c>
      <c r="I204" s="249"/>
      <c r="J204" s="249"/>
      <c r="K204" s="437">
        <f t="shared" si="102"/>
        <v>0</v>
      </c>
      <c r="L204" s="249"/>
      <c r="M204" s="249"/>
      <c r="N204" s="250">
        <f t="shared" si="103"/>
        <v>0</v>
      </c>
      <c r="O204" s="249"/>
      <c r="P204" s="249"/>
      <c r="Q204" s="250">
        <f t="shared" si="78"/>
        <v>0</v>
      </c>
      <c r="R204" s="249"/>
      <c r="S204" s="249"/>
      <c r="T204" s="250">
        <f t="shared" si="79"/>
        <v>0</v>
      </c>
      <c r="U204" s="249"/>
      <c r="V204" s="249"/>
      <c r="W204" s="250">
        <f t="shared" si="80"/>
        <v>0</v>
      </c>
      <c r="X204" s="249"/>
      <c r="Y204" s="249"/>
      <c r="Z204" s="250">
        <f t="shared" si="81"/>
        <v>0</v>
      </c>
      <c r="AA204" s="249"/>
      <c r="AB204" s="249"/>
      <c r="AC204" s="250">
        <f t="shared" si="82"/>
        <v>0</v>
      </c>
      <c r="AD204" s="249"/>
      <c r="AE204" s="249"/>
      <c r="AF204" s="250">
        <f t="shared" si="83"/>
        <v>0</v>
      </c>
      <c r="AG204" s="249"/>
      <c r="AH204" s="249"/>
      <c r="AI204" s="250">
        <f t="shared" si="84"/>
        <v>0</v>
      </c>
      <c r="AJ204" s="249"/>
      <c r="AK204" s="249"/>
      <c r="AL204" s="250">
        <f t="shared" si="85"/>
        <v>0</v>
      </c>
      <c r="AM204" s="249"/>
      <c r="AN204" s="249"/>
      <c r="AO204" s="250">
        <f t="shared" si="86"/>
        <v>0</v>
      </c>
      <c r="AP204" s="249"/>
      <c r="AQ204" s="249"/>
      <c r="AR204" s="250">
        <f t="shared" si="87"/>
        <v>0</v>
      </c>
      <c r="AS204" s="249"/>
      <c r="AT204" s="249"/>
      <c r="AU204" s="250">
        <f t="shared" si="88"/>
        <v>0</v>
      </c>
      <c r="AV204" s="249"/>
      <c r="AW204" s="249"/>
      <c r="AX204" s="250">
        <f t="shared" si="89"/>
        <v>0</v>
      </c>
      <c r="AY204" s="249"/>
      <c r="AZ204" s="249"/>
      <c r="BA204" s="250">
        <f t="shared" si="90"/>
        <v>0</v>
      </c>
      <c r="BB204" s="249"/>
      <c r="BC204" s="249"/>
      <c r="BD204" s="250">
        <f t="shared" si="91"/>
        <v>0</v>
      </c>
    </row>
    <row r="205" spans="1:56" s="255" customFormat="1" ht="21.75" customHeight="1">
      <c r="A205" s="252"/>
      <c r="B205" s="427" t="s">
        <v>315</v>
      </c>
      <c r="C205" s="253"/>
      <c r="D205" s="253"/>
      <c r="E205" s="511">
        <f>IF(C205&gt;0,(((D205-C205)/C205)*100),0)</f>
        <v>0</v>
      </c>
      <c r="F205" s="253"/>
      <c r="G205" s="253"/>
      <c r="H205" s="440">
        <f t="shared" si="101"/>
        <v>0</v>
      </c>
      <c r="I205" s="253"/>
      <c r="J205" s="253"/>
      <c r="K205" s="440">
        <f t="shared" si="102"/>
        <v>0</v>
      </c>
      <c r="L205" s="253"/>
      <c r="M205" s="253"/>
      <c r="N205" s="254">
        <f t="shared" si="103"/>
        <v>0</v>
      </c>
      <c r="O205" s="253"/>
      <c r="P205" s="253"/>
      <c r="Q205" s="254">
        <f t="shared" si="78"/>
        <v>0</v>
      </c>
      <c r="R205" s="253"/>
      <c r="S205" s="253"/>
      <c r="T205" s="254">
        <f t="shared" si="79"/>
        <v>0</v>
      </c>
      <c r="U205" s="253"/>
      <c r="V205" s="253"/>
      <c r="W205" s="254">
        <f t="shared" si="80"/>
        <v>0</v>
      </c>
      <c r="X205" s="253"/>
      <c r="Y205" s="253"/>
      <c r="Z205" s="254">
        <f t="shared" si="81"/>
        <v>0</v>
      </c>
      <c r="AA205" s="253"/>
      <c r="AB205" s="253"/>
      <c r="AC205" s="254">
        <f t="shared" si="82"/>
        <v>0</v>
      </c>
      <c r="AD205" s="253"/>
      <c r="AE205" s="253"/>
      <c r="AF205" s="254">
        <f t="shared" si="83"/>
        <v>0</v>
      </c>
      <c r="AG205" s="253"/>
      <c r="AH205" s="253"/>
      <c r="AI205" s="254">
        <f t="shared" si="84"/>
        <v>0</v>
      </c>
      <c r="AJ205" s="253"/>
      <c r="AK205" s="253"/>
      <c r="AL205" s="254">
        <f t="shared" si="85"/>
        <v>0</v>
      </c>
      <c r="AM205" s="253"/>
      <c r="AN205" s="253"/>
      <c r="AO205" s="254">
        <f t="shared" si="86"/>
        <v>0</v>
      </c>
      <c r="AP205" s="253"/>
      <c r="AQ205" s="253"/>
      <c r="AR205" s="254">
        <f t="shared" si="87"/>
        <v>0</v>
      </c>
      <c r="AS205" s="253"/>
      <c r="AT205" s="253"/>
      <c r="AU205" s="254">
        <f t="shared" si="88"/>
        <v>0</v>
      </c>
      <c r="AV205" s="253"/>
      <c r="AW205" s="253"/>
      <c r="AX205" s="254">
        <f t="shared" si="89"/>
        <v>0</v>
      </c>
      <c r="AY205" s="253"/>
      <c r="AZ205" s="253"/>
      <c r="BA205" s="254">
        <f t="shared" si="90"/>
        <v>0</v>
      </c>
      <c r="BB205" s="253"/>
      <c r="BC205" s="253"/>
      <c r="BD205" s="254">
        <f t="shared" si="91"/>
        <v>0</v>
      </c>
    </row>
    <row r="206" spans="1:56">
      <c r="A206" s="256"/>
      <c r="B206" s="428" t="s">
        <v>198</v>
      </c>
      <c r="C206" s="257"/>
      <c r="D206" s="257"/>
      <c r="E206" s="510"/>
      <c r="F206" s="257"/>
      <c r="G206" s="257"/>
      <c r="H206" s="439"/>
      <c r="I206" s="257"/>
      <c r="J206" s="257"/>
      <c r="K206" s="439"/>
      <c r="L206" s="257"/>
      <c r="M206" s="257"/>
      <c r="N206" s="258"/>
      <c r="O206" s="257">
        <v>17848</v>
      </c>
      <c r="P206" s="257">
        <v>19034</v>
      </c>
      <c r="Q206" s="258">
        <f t="shared" si="78"/>
        <v>6.6450022411474672</v>
      </c>
      <c r="R206" s="257">
        <v>35620</v>
      </c>
      <c r="S206" s="257">
        <v>38014</v>
      </c>
      <c r="T206" s="258">
        <f t="shared" si="79"/>
        <v>6.720943290286356</v>
      </c>
      <c r="U206" s="257">
        <v>25187</v>
      </c>
      <c r="V206" s="257">
        <v>28333</v>
      </c>
      <c r="W206" s="258">
        <f t="shared" si="80"/>
        <v>12.490570532417516</v>
      </c>
      <c r="X206" s="257">
        <v>66419</v>
      </c>
      <c r="Y206" s="257">
        <v>56916</v>
      </c>
      <c r="Z206" s="466">
        <f t="shared" si="81"/>
        <v>-14.307652930637319</v>
      </c>
      <c r="AA206" s="257">
        <v>22468</v>
      </c>
      <c r="AB206" s="257">
        <v>26288</v>
      </c>
      <c r="AC206" s="258">
        <f t="shared" si="82"/>
        <v>17.00195834075129</v>
      </c>
      <c r="AD206" s="257">
        <v>59054</v>
      </c>
      <c r="AE206" s="257">
        <v>45958</v>
      </c>
      <c r="AF206" s="466">
        <f t="shared" si="83"/>
        <v>-22.176313204863344</v>
      </c>
      <c r="AG206" s="257">
        <v>17647</v>
      </c>
      <c r="AH206" s="257">
        <v>16900</v>
      </c>
      <c r="AI206" s="466">
        <f t="shared" si="84"/>
        <v>-4.2330141100470335</v>
      </c>
      <c r="AJ206" s="257">
        <v>35294</v>
      </c>
      <c r="AK206" s="257">
        <v>25200</v>
      </c>
      <c r="AL206" s="466">
        <f t="shared" si="85"/>
        <v>-28.599761999206663</v>
      </c>
      <c r="AM206" s="257"/>
      <c r="AN206" s="257"/>
      <c r="AO206" s="258">
        <f t="shared" si="86"/>
        <v>0</v>
      </c>
      <c r="AP206" s="257"/>
      <c r="AQ206" s="257"/>
      <c r="AR206" s="258">
        <f t="shared" si="87"/>
        <v>0</v>
      </c>
      <c r="AS206" s="257"/>
      <c r="AT206" s="257"/>
      <c r="AU206" s="258">
        <f t="shared" si="88"/>
        <v>0</v>
      </c>
      <c r="AV206" s="257"/>
      <c r="AW206" s="257"/>
      <c r="AX206" s="258">
        <f t="shared" si="89"/>
        <v>0</v>
      </c>
      <c r="AY206" s="257"/>
      <c r="AZ206" s="257"/>
      <c r="BA206" s="258">
        <f t="shared" si="90"/>
        <v>0</v>
      </c>
      <c r="BB206" s="257"/>
      <c r="BC206" s="257"/>
      <c r="BD206" s="258">
        <f t="shared" si="91"/>
        <v>0</v>
      </c>
    </row>
    <row r="207" spans="1:56">
      <c r="A207" s="247" t="s">
        <v>215</v>
      </c>
      <c r="B207" s="259" t="s">
        <v>384</v>
      </c>
      <c r="C207" s="249">
        <v>6189</v>
      </c>
      <c r="D207" s="249">
        <v>6687</v>
      </c>
      <c r="E207" s="508">
        <f t="shared" ref="E207:E220" si="104">IF(C207&gt;0,(((D207-C207)/C207)*100),0)</f>
        <v>8.0465341735336882</v>
      </c>
      <c r="F207" s="249">
        <v>18461</v>
      </c>
      <c r="G207" s="249">
        <v>20176</v>
      </c>
      <c r="H207" s="437">
        <f t="shared" ref="H207:H222" si="105">IF(F207&gt;0,(((G207-F207)/F207)*100),0)</f>
        <v>9.2898542874167163</v>
      </c>
      <c r="I207" s="249">
        <v>7236</v>
      </c>
      <c r="J207" s="249">
        <v>7958</v>
      </c>
      <c r="K207" s="437">
        <f t="shared" ref="K207:K222" si="106">IF(I207&gt;0,(((J207-I207)/I207)*100),0)</f>
        <v>9.9778883360972923</v>
      </c>
      <c r="L207" s="249">
        <v>19508</v>
      </c>
      <c r="M207" s="249">
        <v>20424</v>
      </c>
      <c r="N207" s="250">
        <f t="shared" ref="N207:N222" si="107">IF(L207&gt;0,(((M207-L207)/L207)*100),0)</f>
        <v>4.6955095345499283</v>
      </c>
      <c r="O207" s="249"/>
      <c r="P207" s="249"/>
      <c r="Q207" s="250">
        <f t="shared" si="78"/>
        <v>0</v>
      </c>
      <c r="R207" s="249"/>
      <c r="S207" s="249"/>
      <c r="T207" s="250">
        <f t="shared" si="79"/>
        <v>0</v>
      </c>
      <c r="U207" s="249"/>
      <c r="V207" s="249"/>
      <c r="W207" s="250">
        <f t="shared" si="80"/>
        <v>0</v>
      </c>
      <c r="X207" s="249"/>
      <c r="Y207" s="249"/>
      <c r="Z207" s="250">
        <f t="shared" si="81"/>
        <v>0</v>
      </c>
      <c r="AA207" s="249"/>
      <c r="AB207" s="249"/>
      <c r="AC207" s="250">
        <f t="shared" si="82"/>
        <v>0</v>
      </c>
      <c r="AD207" s="249"/>
      <c r="AE207" s="249"/>
      <c r="AF207" s="250">
        <f t="shared" si="83"/>
        <v>0</v>
      </c>
      <c r="AG207" s="249"/>
      <c r="AH207" s="249"/>
      <c r="AI207" s="250">
        <f t="shared" si="84"/>
        <v>0</v>
      </c>
      <c r="AJ207" s="249"/>
      <c r="AK207" s="249"/>
      <c r="AL207" s="250">
        <f t="shared" si="85"/>
        <v>0</v>
      </c>
      <c r="AM207" s="249"/>
      <c r="AN207" s="249"/>
      <c r="AO207" s="250">
        <f t="shared" si="86"/>
        <v>0</v>
      </c>
      <c r="AP207" s="249"/>
      <c r="AQ207" s="249"/>
      <c r="AR207" s="250">
        <f t="shared" si="87"/>
        <v>0</v>
      </c>
      <c r="AS207" s="249"/>
      <c r="AT207" s="249"/>
      <c r="AU207" s="250">
        <f t="shared" si="88"/>
        <v>0</v>
      </c>
      <c r="AV207" s="249"/>
      <c r="AW207" s="249"/>
      <c r="AX207" s="250">
        <f t="shared" si="89"/>
        <v>0</v>
      </c>
      <c r="AY207" s="249"/>
      <c r="AZ207" s="249"/>
      <c r="BA207" s="250">
        <f t="shared" si="90"/>
        <v>0</v>
      </c>
      <c r="BB207" s="249"/>
      <c r="BC207" s="249"/>
      <c r="BD207" s="250">
        <f t="shared" si="91"/>
        <v>0</v>
      </c>
    </row>
    <row r="208" spans="1:56">
      <c r="A208" s="251"/>
      <c r="B208" s="259" t="s">
        <v>385</v>
      </c>
      <c r="C208" s="249"/>
      <c r="D208" s="249"/>
      <c r="E208" s="508">
        <f t="shared" si="104"/>
        <v>0</v>
      </c>
      <c r="F208" s="249"/>
      <c r="G208" s="249"/>
      <c r="H208" s="437">
        <f t="shared" si="105"/>
        <v>0</v>
      </c>
      <c r="I208" s="249"/>
      <c r="J208" s="249"/>
      <c r="K208" s="437">
        <f t="shared" si="106"/>
        <v>0</v>
      </c>
      <c r="L208" s="249"/>
      <c r="M208" s="249"/>
      <c r="N208" s="250">
        <f t="shared" si="107"/>
        <v>0</v>
      </c>
      <c r="O208" s="249"/>
      <c r="P208" s="249"/>
      <c r="Q208" s="250">
        <f t="shared" si="78"/>
        <v>0</v>
      </c>
      <c r="R208" s="249"/>
      <c r="S208" s="249"/>
      <c r="T208" s="250">
        <f t="shared" si="79"/>
        <v>0</v>
      </c>
      <c r="U208" s="249"/>
      <c r="V208" s="249"/>
      <c r="W208" s="250">
        <f t="shared" si="80"/>
        <v>0</v>
      </c>
      <c r="X208" s="249"/>
      <c r="Y208" s="249"/>
      <c r="Z208" s="250">
        <f t="shared" si="81"/>
        <v>0</v>
      </c>
      <c r="AA208" s="249"/>
      <c r="AB208" s="249"/>
      <c r="AC208" s="250">
        <f t="shared" si="82"/>
        <v>0</v>
      </c>
      <c r="AD208" s="249"/>
      <c r="AE208" s="249"/>
      <c r="AF208" s="250">
        <f t="shared" si="83"/>
        <v>0</v>
      </c>
      <c r="AG208" s="249"/>
      <c r="AH208" s="249"/>
      <c r="AI208" s="250">
        <f t="shared" si="84"/>
        <v>0</v>
      </c>
      <c r="AJ208" s="249"/>
      <c r="AK208" s="249"/>
      <c r="AL208" s="250">
        <f t="shared" si="85"/>
        <v>0</v>
      </c>
      <c r="AM208" s="249"/>
      <c r="AN208" s="249"/>
      <c r="AO208" s="250">
        <f t="shared" si="86"/>
        <v>0</v>
      </c>
      <c r="AP208" s="249"/>
      <c r="AQ208" s="249"/>
      <c r="AR208" s="250">
        <f t="shared" si="87"/>
        <v>0</v>
      </c>
      <c r="AS208" s="249"/>
      <c r="AT208" s="249"/>
      <c r="AU208" s="250">
        <f t="shared" si="88"/>
        <v>0</v>
      </c>
      <c r="AV208" s="249"/>
      <c r="AW208" s="249"/>
      <c r="AX208" s="250">
        <f t="shared" si="89"/>
        <v>0</v>
      </c>
      <c r="AY208" s="249"/>
      <c r="AZ208" s="249"/>
      <c r="BA208" s="250">
        <f t="shared" si="90"/>
        <v>0</v>
      </c>
      <c r="BB208" s="249"/>
      <c r="BC208" s="249"/>
      <c r="BD208" s="250">
        <f t="shared" si="91"/>
        <v>0</v>
      </c>
    </row>
    <row r="209" spans="1:56">
      <c r="A209" s="251"/>
      <c r="B209" s="259" t="s">
        <v>386</v>
      </c>
      <c r="C209" s="249">
        <v>5244</v>
      </c>
      <c r="D209" s="249">
        <v>5593</v>
      </c>
      <c r="E209" s="508">
        <f t="shared" si="104"/>
        <v>6.6552250190694124</v>
      </c>
      <c r="F209" s="249">
        <v>16093</v>
      </c>
      <c r="G209" s="249">
        <v>17664</v>
      </c>
      <c r="H209" s="437">
        <f t="shared" si="105"/>
        <v>9.7620083266016273</v>
      </c>
      <c r="I209" s="249">
        <v>6671</v>
      </c>
      <c r="J209" s="249">
        <v>7162</v>
      </c>
      <c r="K209" s="437">
        <f t="shared" si="106"/>
        <v>7.3602158596912011</v>
      </c>
      <c r="L209" s="249">
        <v>17563</v>
      </c>
      <c r="M209" s="249">
        <v>18194</v>
      </c>
      <c r="N209" s="250">
        <f t="shared" si="107"/>
        <v>3.5927802767181007</v>
      </c>
      <c r="O209" s="249"/>
      <c r="P209" s="249"/>
      <c r="Q209" s="250">
        <f t="shared" si="78"/>
        <v>0</v>
      </c>
      <c r="R209" s="249"/>
      <c r="S209" s="249"/>
      <c r="T209" s="250">
        <f t="shared" si="79"/>
        <v>0</v>
      </c>
      <c r="U209" s="249"/>
      <c r="V209" s="249"/>
      <c r="W209" s="250">
        <f t="shared" si="80"/>
        <v>0</v>
      </c>
      <c r="X209" s="249"/>
      <c r="Y209" s="249"/>
      <c r="Z209" s="250">
        <f t="shared" si="81"/>
        <v>0</v>
      </c>
      <c r="AA209" s="249"/>
      <c r="AB209" s="249"/>
      <c r="AC209" s="250">
        <f t="shared" si="82"/>
        <v>0</v>
      </c>
      <c r="AD209" s="249"/>
      <c r="AE209" s="249"/>
      <c r="AF209" s="250">
        <f t="shared" si="83"/>
        <v>0</v>
      </c>
      <c r="AG209" s="249"/>
      <c r="AH209" s="249"/>
      <c r="AI209" s="250">
        <f t="shared" si="84"/>
        <v>0</v>
      </c>
      <c r="AJ209" s="249"/>
      <c r="AK209" s="249"/>
      <c r="AL209" s="250">
        <f t="shared" si="85"/>
        <v>0</v>
      </c>
      <c r="AM209" s="249"/>
      <c r="AN209" s="249"/>
      <c r="AO209" s="250">
        <f t="shared" si="86"/>
        <v>0</v>
      </c>
      <c r="AP209" s="249"/>
      <c r="AQ209" s="249"/>
      <c r="AR209" s="250">
        <f t="shared" si="87"/>
        <v>0</v>
      </c>
      <c r="AS209" s="249"/>
      <c r="AT209" s="249"/>
      <c r="AU209" s="250">
        <f t="shared" si="88"/>
        <v>0</v>
      </c>
      <c r="AV209" s="249"/>
      <c r="AW209" s="249"/>
      <c r="AX209" s="250">
        <f t="shared" si="89"/>
        <v>0</v>
      </c>
      <c r="AY209" s="249"/>
      <c r="AZ209" s="249"/>
      <c r="BA209" s="250">
        <f t="shared" si="90"/>
        <v>0</v>
      </c>
      <c r="BB209" s="249"/>
      <c r="BC209" s="249"/>
      <c r="BD209" s="250">
        <f t="shared" si="91"/>
        <v>0</v>
      </c>
    </row>
    <row r="210" spans="1:56">
      <c r="A210" s="251"/>
      <c r="B210" s="259" t="s">
        <v>387</v>
      </c>
      <c r="C210" s="249">
        <v>5526</v>
      </c>
      <c r="D210" s="249">
        <v>5868</v>
      </c>
      <c r="E210" s="508">
        <f t="shared" si="104"/>
        <v>6.1889250814332248</v>
      </c>
      <c r="F210" s="249">
        <v>16418</v>
      </c>
      <c r="G210" s="249">
        <v>17946</v>
      </c>
      <c r="H210" s="437">
        <f t="shared" si="105"/>
        <v>9.3068583262273119</v>
      </c>
      <c r="I210" s="249">
        <v>6996</v>
      </c>
      <c r="J210" s="249">
        <v>7444</v>
      </c>
      <c r="K210" s="437">
        <f t="shared" si="106"/>
        <v>6.4036592338479137</v>
      </c>
      <c r="L210" s="249">
        <v>17888</v>
      </c>
      <c r="M210" s="249">
        <v>18476</v>
      </c>
      <c r="N210" s="250">
        <f t="shared" si="107"/>
        <v>3.2871198568872986</v>
      </c>
      <c r="O210" s="249"/>
      <c r="P210" s="249"/>
      <c r="Q210" s="250">
        <f t="shared" si="78"/>
        <v>0</v>
      </c>
      <c r="R210" s="249"/>
      <c r="S210" s="249"/>
      <c r="T210" s="250">
        <f t="shared" si="79"/>
        <v>0</v>
      </c>
      <c r="U210" s="249"/>
      <c r="V210" s="249"/>
      <c r="W210" s="250">
        <f t="shared" si="80"/>
        <v>0</v>
      </c>
      <c r="X210" s="249"/>
      <c r="Y210" s="249"/>
      <c r="Z210" s="250">
        <f t="shared" si="81"/>
        <v>0</v>
      </c>
      <c r="AA210" s="249"/>
      <c r="AB210" s="249"/>
      <c r="AC210" s="250">
        <f t="shared" si="82"/>
        <v>0</v>
      </c>
      <c r="AD210" s="249"/>
      <c r="AE210" s="249"/>
      <c r="AF210" s="250">
        <f t="shared" si="83"/>
        <v>0</v>
      </c>
      <c r="AG210" s="249"/>
      <c r="AH210" s="249"/>
      <c r="AI210" s="250">
        <f t="shared" si="84"/>
        <v>0</v>
      </c>
      <c r="AJ210" s="249"/>
      <c r="AK210" s="249"/>
      <c r="AL210" s="250">
        <f t="shared" si="85"/>
        <v>0</v>
      </c>
      <c r="AM210" s="249"/>
      <c r="AN210" s="249"/>
      <c r="AO210" s="250">
        <f t="shared" si="86"/>
        <v>0</v>
      </c>
      <c r="AP210" s="249"/>
      <c r="AQ210" s="249"/>
      <c r="AR210" s="250">
        <f t="shared" si="87"/>
        <v>0</v>
      </c>
      <c r="AS210" s="249"/>
      <c r="AT210" s="249"/>
      <c r="AU210" s="250">
        <f t="shared" si="88"/>
        <v>0</v>
      </c>
      <c r="AV210" s="249"/>
      <c r="AW210" s="249"/>
      <c r="AX210" s="250">
        <f t="shared" si="89"/>
        <v>0</v>
      </c>
      <c r="AY210" s="249"/>
      <c r="AZ210" s="249"/>
      <c r="BA210" s="250">
        <f t="shared" si="90"/>
        <v>0</v>
      </c>
      <c r="BB210" s="249"/>
      <c r="BC210" s="249"/>
      <c r="BD210" s="250">
        <f t="shared" si="91"/>
        <v>0</v>
      </c>
    </row>
    <row r="211" spans="1:56">
      <c r="A211" s="251"/>
      <c r="B211" s="259" t="s">
        <v>388</v>
      </c>
      <c r="C211" s="249">
        <v>5255</v>
      </c>
      <c r="D211" s="249">
        <v>5769</v>
      </c>
      <c r="E211" s="508">
        <f t="shared" si="104"/>
        <v>9.7811607992388208</v>
      </c>
      <c r="F211" s="249">
        <v>15897</v>
      </c>
      <c r="G211" s="249">
        <v>17155</v>
      </c>
      <c r="H211" s="437">
        <f t="shared" si="105"/>
        <v>7.9134427879474112</v>
      </c>
      <c r="I211" s="249">
        <v>6084</v>
      </c>
      <c r="J211" s="249">
        <v>6658</v>
      </c>
      <c r="K211" s="437">
        <f t="shared" si="106"/>
        <v>9.4345825115055888</v>
      </c>
      <c r="L211" s="249">
        <v>16726</v>
      </c>
      <c r="M211" s="249">
        <v>18044</v>
      </c>
      <c r="N211" s="250">
        <f t="shared" si="107"/>
        <v>7.8799473873012076</v>
      </c>
      <c r="O211" s="249"/>
      <c r="P211" s="249"/>
      <c r="Q211" s="250">
        <f t="shared" si="78"/>
        <v>0</v>
      </c>
      <c r="R211" s="249"/>
      <c r="S211" s="249"/>
      <c r="T211" s="250">
        <f t="shared" si="79"/>
        <v>0</v>
      </c>
      <c r="U211" s="249"/>
      <c r="V211" s="249"/>
      <c r="W211" s="250">
        <f t="shared" si="80"/>
        <v>0</v>
      </c>
      <c r="X211" s="249"/>
      <c r="Y211" s="249"/>
      <c r="Z211" s="250">
        <f t="shared" si="81"/>
        <v>0</v>
      </c>
      <c r="AA211" s="249"/>
      <c r="AB211" s="249"/>
      <c r="AC211" s="250">
        <f t="shared" si="82"/>
        <v>0</v>
      </c>
      <c r="AD211" s="249"/>
      <c r="AE211" s="249"/>
      <c r="AF211" s="250">
        <f t="shared" si="83"/>
        <v>0</v>
      </c>
      <c r="AG211" s="249"/>
      <c r="AH211" s="249"/>
      <c r="AI211" s="250">
        <f t="shared" si="84"/>
        <v>0</v>
      </c>
      <c r="AJ211" s="249"/>
      <c r="AK211" s="249"/>
      <c r="AL211" s="250">
        <f t="shared" si="85"/>
        <v>0</v>
      </c>
      <c r="AM211" s="249"/>
      <c r="AN211" s="249"/>
      <c r="AO211" s="250">
        <f t="shared" si="86"/>
        <v>0</v>
      </c>
      <c r="AP211" s="249"/>
      <c r="AQ211" s="249"/>
      <c r="AR211" s="250">
        <f t="shared" si="87"/>
        <v>0</v>
      </c>
      <c r="AS211" s="249"/>
      <c r="AT211" s="249"/>
      <c r="AU211" s="250">
        <f t="shared" si="88"/>
        <v>0</v>
      </c>
      <c r="AV211" s="249"/>
      <c r="AW211" s="249"/>
      <c r="AX211" s="250">
        <f t="shared" si="89"/>
        <v>0</v>
      </c>
      <c r="AY211" s="249"/>
      <c r="AZ211" s="249"/>
      <c r="BA211" s="250">
        <f t="shared" si="90"/>
        <v>0</v>
      </c>
      <c r="BB211" s="249"/>
      <c r="BC211" s="249"/>
      <c r="BD211" s="250">
        <f t="shared" si="91"/>
        <v>0</v>
      </c>
    </row>
    <row r="212" spans="1:56">
      <c r="A212" s="251"/>
      <c r="B212" s="259" t="s">
        <v>389</v>
      </c>
      <c r="C212" s="249"/>
      <c r="D212" s="249"/>
      <c r="E212" s="508">
        <f t="shared" si="104"/>
        <v>0</v>
      </c>
      <c r="F212" s="249"/>
      <c r="G212" s="249"/>
      <c r="H212" s="437">
        <f t="shared" si="105"/>
        <v>0</v>
      </c>
      <c r="I212" s="249"/>
      <c r="J212" s="249"/>
      <c r="K212" s="437">
        <f t="shared" si="106"/>
        <v>0</v>
      </c>
      <c r="L212" s="249"/>
      <c r="M212" s="249"/>
      <c r="N212" s="250">
        <f t="shared" si="107"/>
        <v>0</v>
      </c>
      <c r="O212" s="249"/>
      <c r="P212" s="249"/>
      <c r="Q212" s="250">
        <f t="shared" ref="Q212:Q275" si="108">IF(O212&gt;0,(((P212-O212)/O212)*100),0)</f>
        <v>0</v>
      </c>
      <c r="R212" s="249"/>
      <c r="S212" s="249"/>
      <c r="T212" s="250">
        <f t="shared" ref="T212:T275" si="109">IF(R212&gt;0,(((S212-R212)/R212)*100),0)</f>
        <v>0</v>
      </c>
      <c r="U212" s="249"/>
      <c r="V212" s="249"/>
      <c r="W212" s="250">
        <f t="shared" ref="W212:W275" si="110">IF(U212&gt;0,(((V212-U212)/U212)*100),0)</f>
        <v>0</v>
      </c>
      <c r="X212" s="249"/>
      <c r="Y212" s="249"/>
      <c r="Z212" s="250">
        <f t="shared" ref="Z212:Z275" si="111">IF(X212&gt;0,(((Y212-X212)/X212)*100),0)</f>
        <v>0</v>
      </c>
      <c r="AA212" s="249"/>
      <c r="AB212" s="249"/>
      <c r="AC212" s="250">
        <f t="shared" ref="AC212:AC275" si="112">IF(AA212&gt;0,(((AB212-AA212)/AA212)*100),0)</f>
        <v>0</v>
      </c>
      <c r="AD212" s="249"/>
      <c r="AE212" s="249"/>
      <c r="AF212" s="250">
        <f t="shared" ref="AF212:AF275" si="113">IF(AD212&gt;0,(((AE212-AD212)/AD212)*100),0)</f>
        <v>0</v>
      </c>
      <c r="AG212" s="249"/>
      <c r="AH212" s="249"/>
      <c r="AI212" s="250">
        <f t="shared" ref="AI212:AI275" si="114">IF(AG212&gt;0,(((AH212-AG212)/AG212)*100),0)</f>
        <v>0</v>
      </c>
      <c r="AJ212" s="249"/>
      <c r="AK212" s="249"/>
      <c r="AL212" s="250">
        <f t="shared" ref="AL212:AL275" si="115">IF(AJ212&gt;0,(((AK212-AJ212)/AJ212)*100),0)</f>
        <v>0</v>
      </c>
      <c r="AM212" s="249"/>
      <c r="AN212" s="249"/>
      <c r="AO212" s="250">
        <f t="shared" ref="AO212:AO275" si="116">IF(AM212&gt;0,(((AN212-AM212)/AM212)*100),0)</f>
        <v>0</v>
      </c>
      <c r="AP212" s="249"/>
      <c r="AQ212" s="249"/>
      <c r="AR212" s="250">
        <f t="shared" ref="AR212:AR275" si="117">IF(AP212&gt;0,(((AQ212-AP212)/AP212)*100),0)</f>
        <v>0</v>
      </c>
      <c r="AS212" s="249"/>
      <c r="AT212" s="249"/>
      <c r="AU212" s="250">
        <f t="shared" ref="AU212:AU275" si="118">IF(AS212&gt;0,(((AT212-AS212)/AS212)*100),0)</f>
        <v>0</v>
      </c>
      <c r="AV212" s="249"/>
      <c r="AW212" s="249"/>
      <c r="AX212" s="250">
        <f t="shared" ref="AX212:AX275" si="119">IF(AV212&gt;0,(((AW212-AV212)/AV212)*100),0)</f>
        <v>0</v>
      </c>
      <c r="AY212" s="249"/>
      <c r="AZ212" s="249"/>
      <c r="BA212" s="250">
        <f t="shared" ref="BA212:BA275" si="120">IF(AY212&gt;0,(((AZ212-AY212)/AY212)*100),0)</f>
        <v>0</v>
      </c>
      <c r="BB212" s="249"/>
      <c r="BC212" s="249"/>
      <c r="BD212" s="250">
        <f t="shared" ref="BD212:BD275" si="121">IF(BB212&gt;0,(((BC212-BB212)/BB212)*100),0)</f>
        <v>0</v>
      </c>
    </row>
    <row r="213" spans="1:56" s="255" customFormat="1" ht="19.5" customHeight="1">
      <c r="A213" s="252"/>
      <c r="B213" s="431" t="s">
        <v>221</v>
      </c>
      <c r="C213" s="425">
        <v>5310</v>
      </c>
      <c r="D213" s="425">
        <v>5769</v>
      </c>
      <c r="E213" s="509">
        <f t="shared" si="104"/>
        <v>8.6440677966101696</v>
      </c>
      <c r="F213" s="425">
        <v>16136</v>
      </c>
      <c r="G213" s="425">
        <v>17671</v>
      </c>
      <c r="H213" s="438">
        <f t="shared" si="105"/>
        <v>9.5128904313336626</v>
      </c>
      <c r="I213" s="425">
        <v>6714</v>
      </c>
      <c r="J213" s="425">
        <v>7169</v>
      </c>
      <c r="K213" s="438">
        <f t="shared" si="106"/>
        <v>6.7768841227286272</v>
      </c>
      <c r="L213" s="425">
        <v>17606</v>
      </c>
      <c r="M213" s="425">
        <v>18201</v>
      </c>
      <c r="N213" s="421">
        <f t="shared" si="107"/>
        <v>3.3795297057821196</v>
      </c>
      <c r="O213" s="425"/>
      <c r="P213" s="425"/>
      <c r="Q213" s="421">
        <f t="shared" si="108"/>
        <v>0</v>
      </c>
      <c r="R213" s="425"/>
      <c r="S213" s="425"/>
      <c r="T213" s="421">
        <f t="shared" si="109"/>
        <v>0</v>
      </c>
      <c r="U213" s="425"/>
      <c r="V213" s="425"/>
      <c r="W213" s="421">
        <f t="shared" si="110"/>
        <v>0</v>
      </c>
      <c r="X213" s="425"/>
      <c r="Y213" s="425"/>
      <c r="Z213" s="421">
        <f t="shared" si="111"/>
        <v>0</v>
      </c>
      <c r="AA213" s="425"/>
      <c r="AB213" s="425"/>
      <c r="AC213" s="421">
        <f t="shared" si="112"/>
        <v>0</v>
      </c>
      <c r="AD213" s="425"/>
      <c r="AE213" s="425"/>
      <c r="AF213" s="421">
        <f t="shared" si="113"/>
        <v>0</v>
      </c>
      <c r="AG213" s="425"/>
      <c r="AH213" s="425"/>
      <c r="AI213" s="421">
        <f t="shared" si="114"/>
        <v>0</v>
      </c>
      <c r="AJ213" s="425"/>
      <c r="AK213" s="425"/>
      <c r="AL213" s="421">
        <f t="shared" si="115"/>
        <v>0</v>
      </c>
      <c r="AM213" s="425"/>
      <c r="AN213" s="425"/>
      <c r="AO213" s="421">
        <f t="shared" si="116"/>
        <v>0</v>
      </c>
      <c r="AP213" s="425"/>
      <c r="AQ213" s="425"/>
      <c r="AR213" s="421">
        <f t="shared" si="117"/>
        <v>0</v>
      </c>
      <c r="AS213" s="425"/>
      <c r="AT213" s="425"/>
      <c r="AU213" s="421">
        <f t="shared" si="118"/>
        <v>0</v>
      </c>
      <c r="AV213" s="425"/>
      <c r="AW213" s="425"/>
      <c r="AX213" s="421">
        <f t="shared" si="119"/>
        <v>0</v>
      </c>
      <c r="AY213" s="425"/>
      <c r="AZ213" s="425"/>
      <c r="BA213" s="421">
        <f t="shared" si="120"/>
        <v>0</v>
      </c>
      <c r="BB213" s="425"/>
      <c r="BC213" s="425"/>
      <c r="BD213" s="421">
        <f t="shared" si="121"/>
        <v>0</v>
      </c>
    </row>
    <row r="214" spans="1:56">
      <c r="A214" s="251"/>
      <c r="B214" s="259" t="s">
        <v>390</v>
      </c>
      <c r="C214" s="249"/>
      <c r="D214" s="249"/>
      <c r="E214" s="508">
        <f t="shared" si="104"/>
        <v>0</v>
      </c>
      <c r="F214" s="249"/>
      <c r="G214" s="249"/>
      <c r="H214" s="437">
        <f t="shared" si="105"/>
        <v>0</v>
      </c>
      <c r="I214" s="249"/>
      <c r="J214" s="249"/>
      <c r="K214" s="437">
        <f t="shared" si="106"/>
        <v>0</v>
      </c>
      <c r="L214" s="249"/>
      <c r="M214" s="249"/>
      <c r="N214" s="250">
        <f t="shared" si="107"/>
        <v>0</v>
      </c>
      <c r="O214" s="249"/>
      <c r="P214" s="249"/>
      <c r="Q214" s="250">
        <f t="shared" si="108"/>
        <v>0</v>
      </c>
      <c r="R214" s="249"/>
      <c r="S214" s="249"/>
      <c r="T214" s="250">
        <f t="shared" si="109"/>
        <v>0</v>
      </c>
      <c r="U214" s="249"/>
      <c r="V214" s="249"/>
      <c r="W214" s="250">
        <f t="shared" si="110"/>
        <v>0</v>
      </c>
      <c r="X214" s="249"/>
      <c r="Y214" s="249"/>
      <c r="Z214" s="250">
        <f t="shared" si="111"/>
        <v>0</v>
      </c>
      <c r="AA214" s="249"/>
      <c r="AB214" s="249"/>
      <c r="AC214" s="250">
        <f t="shared" si="112"/>
        <v>0</v>
      </c>
      <c r="AD214" s="249"/>
      <c r="AE214" s="249"/>
      <c r="AF214" s="250">
        <f t="shared" si="113"/>
        <v>0</v>
      </c>
      <c r="AG214" s="249"/>
      <c r="AH214" s="249"/>
      <c r="AI214" s="250">
        <f t="shared" si="114"/>
        <v>0</v>
      </c>
      <c r="AJ214" s="249"/>
      <c r="AK214" s="249"/>
      <c r="AL214" s="250">
        <f t="shared" si="115"/>
        <v>0</v>
      </c>
      <c r="AM214" s="249"/>
      <c r="AN214" s="249"/>
      <c r="AO214" s="250">
        <f t="shared" si="116"/>
        <v>0</v>
      </c>
      <c r="AP214" s="249"/>
      <c r="AQ214" s="249"/>
      <c r="AR214" s="250">
        <f t="shared" si="117"/>
        <v>0</v>
      </c>
      <c r="AS214" s="249"/>
      <c r="AT214" s="249"/>
      <c r="AU214" s="250">
        <f t="shared" si="118"/>
        <v>0</v>
      </c>
      <c r="AV214" s="249"/>
      <c r="AW214" s="249"/>
      <c r="AX214" s="250">
        <f t="shared" si="119"/>
        <v>0</v>
      </c>
      <c r="AY214" s="249"/>
      <c r="AZ214" s="249"/>
      <c r="BA214" s="250">
        <f t="shared" si="120"/>
        <v>0</v>
      </c>
      <c r="BB214" s="249"/>
      <c r="BC214" s="249"/>
      <c r="BD214" s="250">
        <f t="shared" si="121"/>
        <v>0</v>
      </c>
    </row>
    <row r="215" spans="1:56">
      <c r="A215" s="251"/>
      <c r="B215" s="259" t="s">
        <v>391</v>
      </c>
      <c r="C215" s="249">
        <v>2797</v>
      </c>
      <c r="D215" s="249">
        <v>2991</v>
      </c>
      <c r="E215" s="508">
        <f t="shared" si="104"/>
        <v>6.9360028602073642</v>
      </c>
      <c r="F215" s="249">
        <v>10297</v>
      </c>
      <c r="G215" s="249">
        <v>11475</v>
      </c>
      <c r="H215" s="437">
        <f t="shared" si="105"/>
        <v>11.440225308342237</v>
      </c>
      <c r="I215" s="249"/>
      <c r="J215" s="249"/>
      <c r="K215" s="437">
        <f t="shared" si="106"/>
        <v>0</v>
      </c>
      <c r="L215" s="249"/>
      <c r="M215" s="249"/>
      <c r="N215" s="250">
        <f t="shared" si="107"/>
        <v>0</v>
      </c>
      <c r="O215" s="249"/>
      <c r="P215" s="249"/>
      <c r="Q215" s="250">
        <f t="shared" si="108"/>
        <v>0</v>
      </c>
      <c r="R215" s="249"/>
      <c r="S215" s="249"/>
      <c r="T215" s="250">
        <f t="shared" si="109"/>
        <v>0</v>
      </c>
      <c r="U215" s="249"/>
      <c r="V215" s="249"/>
      <c r="W215" s="250">
        <f t="shared" si="110"/>
        <v>0</v>
      </c>
      <c r="X215" s="249"/>
      <c r="Y215" s="249"/>
      <c r="Z215" s="250">
        <f t="shared" si="111"/>
        <v>0</v>
      </c>
      <c r="AA215" s="249"/>
      <c r="AB215" s="249"/>
      <c r="AC215" s="250">
        <f t="shared" si="112"/>
        <v>0</v>
      </c>
      <c r="AD215" s="249"/>
      <c r="AE215" s="249"/>
      <c r="AF215" s="250">
        <f t="shared" si="113"/>
        <v>0</v>
      </c>
      <c r="AG215" s="249"/>
      <c r="AH215" s="249"/>
      <c r="AI215" s="250">
        <f t="shared" si="114"/>
        <v>0</v>
      </c>
      <c r="AJ215" s="249"/>
      <c r="AK215" s="249"/>
      <c r="AL215" s="250">
        <f t="shared" si="115"/>
        <v>0</v>
      </c>
      <c r="AM215" s="249"/>
      <c r="AN215" s="249"/>
      <c r="AO215" s="250">
        <f t="shared" si="116"/>
        <v>0</v>
      </c>
      <c r="AP215" s="249"/>
      <c r="AQ215" s="249"/>
      <c r="AR215" s="250">
        <f t="shared" si="117"/>
        <v>0</v>
      </c>
      <c r="AS215" s="249"/>
      <c r="AT215" s="249"/>
      <c r="AU215" s="250">
        <f t="shared" si="118"/>
        <v>0</v>
      </c>
      <c r="AV215" s="249"/>
      <c r="AW215" s="249"/>
      <c r="AX215" s="250">
        <f t="shared" si="119"/>
        <v>0</v>
      </c>
      <c r="AY215" s="249"/>
      <c r="AZ215" s="249"/>
      <c r="BA215" s="250">
        <f t="shared" si="120"/>
        <v>0</v>
      </c>
      <c r="BB215" s="249"/>
      <c r="BC215" s="249"/>
      <c r="BD215" s="250">
        <f t="shared" si="121"/>
        <v>0</v>
      </c>
    </row>
    <row r="216" spans="1:56">
      <c r="A216" s="251"/>
      <c r="B216" s="259" t="s">
        <v>392</v>
      </c>
      <c r="C216" s="249">
        <v>2767</v>
      </c>
      <c r="D216" s="249">
        <v>2961</v>
      </c>
      <c r="E216" s="508">
        <f t="shared" si="104"/>
        <v>7.0112034694615106</v>
      </c>
      <c r="F216" s="249">
        <v>10267</v>
      </c>
      <c r="G216" s="249">
        <v>11445</v>
      </c>
      <c r="H216" s="437">
        <f t="shared" si="105"/>
        <v>11.473653452809973</v>
      </c>
      <c r="I216" s="249"/>
      <c r="J216" s="249"/>
      <c r="K216" s="437">
        <f t="shared" si="106"/>
        <v>0</v>
      </c>
      <c r="L216" s="249"/>
      <c r="M216" s="249"/>
      <c r="N216" s="250">
        <f t="shared" si="107"/>
        <v>0</v>
      </c>
      <c r="O216" s="249"/>
      <c r="P216" s="249"/>
      <c r="Q216" s="250">
        <f t="shared" si="108"/>
        <v>0</v>
      </c>
      <c r="R216" s="249"/>
      <c r="S216" s="249"/>
      <c r="T216" s="250">
        <f t="shared" si="109"/>
        <v>0</v>
      </c>
      <c r="U216" s="249"/>
      <c r="V216" s="249"/>
      <c r="W216" s="250">
        <f t="shared" si="110"/>
        <v>0</v>
      </c>
      <c r="X216" s="249"/>
      <c r="Y216" s="249"/>
      <c r="Z216" s="250">
        <f t="shared" si="111"/>
        <v>0</v>
      </c>
      <c r="AA216" s="249"/>
      <c r="AB216" s="249"/>
      <c r="AC216" s="250">
        <f t="shared" si="112"/>
        <v>0</v>
      </c>
      <c r="AD216" s="249"/>
      <c r="AE216" s="249"/>
      <c r="AF216" s="250">
        <f t="shared" si="113"/>
        <v>0</v>
      </c>
      <c r="AG216" s="249"/>
      <c r="AH216" s="249"/>
      <c r="AI216" s="250">
        <f t="shared" si="114"/>
        <v>0</v>
      </c>
      <c r="AJ216" s="249"/>
      <c r="AK216" s="249"/>
      <c r="AL216" s="250">
        <f t="shared" si="115"/>
        <v>0</v>
      </c>
      <c r="AM216" s="249"/>
      <c r="AN216" s="249"/>
      <c r="AO216" s="250">
        <f t="shared" si="116"/>
        <v>0</v>
      </c>
      <c r="AP216" s="249"/>
      <c r="AQ216" s="249"/>
      <c r="AR216" s="250">
        <f t="shared" si="117"/>
        <v>0</v>
      </c>
      <c r="AS216" s="249"/>
      <c r="AT216" s="249"/>
      <c r="AU216" s="250">
        <f t="shared" si="118"/>
        <v>0</v>
      </c>
      <c r="AV216" s="249"/>
      <c r="AW216" s="249"/>
      <c r="AX216" s="250">
        <f t="shared" si="119"/>
        <v>0</v>
      </c>
      <c r="AY216" s="249"/>
      <c r="AZ216" s="249"/>
      <c r="BA216" s="250">
        <f t="shared" si="120"/>
        <v>0</v>
      </c>
      <c r="BB216" s="249"/>
      <c r="BC216" s="249"/>
      <c r="BD216" s="250">
        <f t="shared" si="121"/>
        <v>0</v>
      </c>
    </row>
    <row r="217" spans="1:56">
      <c r="A217" s="251"/>
      <c r="B217" s="259" t="s">
        <v>196</v>
      </c>
      <c r="C217" s="249">
        <v>2777</v>
      </c>
      <c r="D217" s="249">
        <v>2971</v>
      </c>
      <c r="E217" s="508">
        <f t="shared" si="104"/>
        <v>6.9859560676989565</v>
      </c>
      <c r="F217" s="249">
        <v>10277</v>
      </c>
      <c r="G217" s="249">
        <v>11455</v>
      </c>
      <c r="H217" s="437">
        <f t="shared" si="105"/>
        <v>11.462489053225649</v>
      </c>
      <c r="I217" s="249"/>
      <c r="J217" s="249"/>
      <c r="K217" s="437">
        <f t="shared" si="106"/>
        <v>0</v>
      </c>
      <c r="L217" s="249"/>
      <c r="M217" s="249"/>
      <c r="N217" s="250">
        <f t="shared" si="107"/>
        <v>0</v>
      </c>
      <c r="O217" s="249"/>
      <c r="P217" s="249"/>
      <c r="Q217" s="250">
        <f t="shared" si="108"/>
        <v>0</v>
      </c>
      <c r="R217" s="249"/>
      <c r="S217" s="249"/>
      <c r="T217" s="250">
        <f t="shared" si="109"/>
        <v>0</v>
      </c>
      <c r="U217" s="249"/>
      <c r="V217" s="249"/>
      <c r="W217" s="250">
        <f t="shared" si="110"/>
        <v>0</v>
      </c>
      <c r="X217" s="249"/>
      <c r="Y217" s="249"/>
      <c r="Z217" s="250">
        <f t="shared" si="111"/>
        <v>0</v>
      </c>
      <c r="AA217" s="249"/>
      <c r="AB217" s="249"/>
      <c r="AC217" s="250">
        <f t="shared" si="112"/>
        <v>0</v>
      </c>
      <c r="AD217" s="249"/>
      <c r="AE217" s="249"/>
      <c r="AF217" s="250">
        <f t="shared" si="113"/>
        <v>0</v>
      </c>
      <c r="AG217" s="249"/>
      <c r="AH217" s="249"/>
      <c r="AI217" s="250">
        <f t="shared" si="114"/>
        <v>0</v>
      </c>
      <c r="AJ217" s="249"/>
      <c r="AK217" s="249"/>
      <c r="AL217" s="250">
        <f t="shared" si="115"/>
        <v>0</v>
      </c>
      <c r="AM217" s="249"/>
      <c r="AN217" s="249"/>
      <c r="AO217" s="250">
        <f t="shared" si="116"/>
        <v>0</v>
      </c>
      <c r="AP217" s="249"/>
      <c r="AQ217" s="249"/>
      <c r="AR217" s="250">
        <f t="shared" si="117"/>
        <v>0</v>
      </c>
      <c r="AS217" s="249"/>
      <c r="AT217" s="249"/>
      <c r="AU217" s="250">
        <f t="shared" si="118"/>
        <v>0</v>
      </c>
      <c r="AV217" s="249"/>
      <c r="AW217" s="249"/>
      <c r="AX217" s="250">
        <f t="shared" si="119"/>
        <v>0</v>
      </c>
      <c r="AY217" s="249"/>
      <c r="AZ217" s="249"/>
      <c r="BA217" s="250">
        <f t="shared" si="120"/>
        <v>0</v>
      </c>
      <c r="BB217" s="249"/>
      <c r="BC217" s="249"/>
      <c r="BD217" s="250">
        <f t="shared" si="121"/>
        <v>0</v>
      </c>
    </row>
    <row r="218" spans="1:56" s="255" customFormat="1" ht="20.25" customHeight="1">
      <c r="A218" s="252"/>
      <c r="B218" s="431" t="s">
        <v>550</v>
      </c>
      <c r="C218" s="425">
        <v>2775</v>
      </c>
      <c r="D218" s="425">
        <v>2969</v>
      </c>
      <c r="E218" s="511">
        <f t="shared" si="104"/>
        <v>6.9909909909909906</v>
      </c>
      <c r="F218" s="425">
        <v>10275</v>
      </c>
      <c r="G218" s="425">
        <v>11453</v>
      </c>
      <c r="H218" s="440">
        <f t="shared" si="105"/>
        <v>11.464720194647201</v>
      </c>
      <c r="I218" s="425"/>
      <c r="J218" s="425"/>
      <c r="K218" s="440">
        <f t="shared" si="106"/>
        <v>0</v>
      </c>
      <c r="L218" s="425"/>
      <c r="M218" s="425"/>
      <c r="N218" s="254">
        <f t="shared" si="107"/>
        <v>0</v>
      </c>
      <c r="O218" s="425"/>
      <c r="P218" s="425"/>
      <c r="Q218" s="254">
        <f t="shared" si="108"/>
        <v>0</v>
      </c>
      <c r="R218" s="425"/>
      <c r="S218" s="425"/>
      <c r="T218" s="254">
        <f t="shared" si="109"/>
        <v>0</v>
      </c>
      <c r="U218" s="425"/>
      <c r="V218" s="425"/>
      <c r="W218" s="254">
        <f t="shared" si="110"/>
        <v>0</v>
      </c>
      <c r="X218" s="425"/>
      <c r="Y218" s="425"/>
      <c r="Z218" s="254">
        <f t="shared" si="111"/>
        <v>0</v>
      </c>
      <c r="AA218" s="425"/>
      <c r="AB218" s="425"/>
      <c r="AC218" s="254">
        <f t="shared" si="112"/>
        <v>0</v>
      </c>
      <c r="AD218" s="425"/>
      <c r="AE218" s="425"/>
      <c r="AF218" s="254">
        <f t="shared" si="113"/>
        <v>0</v>
      </c>
      <c r="AG218" s="425"/>
      <c r="AH218" s="425"/>
      <c r="AI218" s="254">
        <f t="shared" si="114"/>
        <v>0</v>
      </c>
      <c r="AJ218" s="425"/>
      <c r="AK218" s="425"/>
      <c r="AL218" s="254">
        <f t="shared" si="115"/>
        <v>0</v>
      </c>
      <c r="AM218" s="425"/>
      <c r="AN218" s="425"/>
      <c r="AO218" s="254">
        <f t="shared" si="116"/>
        <v>0</v>
      </c>
      <c r="AP218" s="425"/>
      <c r="AQ218" s="425"/>
      <c r="AR218" s="254">
        <f t="shared" si="117"/>
        <v>0</v>
      </c>
      <c r="AS218" s="425"/>
      <c r="AT218" s="425"/>
      <c r="AU218" s="254">
        <f t="shared" si="118"/>
        <v>0</v>
      </c>
      <c r="AV218" s="425"/>
      <c r="AW218" s="425"/>
      <c r="AX218" s="254">
        <f t="shared" si="119"/>
        <v>0</v>
      </c>
      <c r="AY218" s="425"/>
      <c r="AZ218" s="425"/>
      <c r="BA218" s="254">
        <f t="shared" si="120"/>
        <v>0</v>
      </c>
      <c r="BB218" s="425"/>
      <c r="BC218" s="425"/>
      <c r="BD218" s="254">
        <f t="shared" si="121"/>
        <v>0</v>
      </c>
    </row>
    <row r="219" spans="1:56">
      <c r="A219" s="251"/>
      <c r="B219" s="259" t="s">
        <v>197</v>
      </c>
      <c r="C219" s="249"/>
      <c r="D219" s="249"/>
      <c r="E219" s="508">
        <f t="shared" si="104"/>
        <v>0</v>
      </c>
      <c r="F219" s="249"/>
      <c r="G219" s="249"/>
      <c r="H219" s="437">
        <f t="shared" si="105"/>
        <v>0</v>
      </c>
      <c r="I219" s="249"/>
      <c r="J219" s="249"/>
      <c r="K219" s="437">
        <f t="shared" si="106"/>
        <v>0</v>
      </c>
      <c r="L219" s="249"/>
      <c r="M219" s="249"/>
      <c r="N219" s="250">
        <f t="shared" si="107"/>
        <v>0</v>
      </c>
      <c r="O219" s="249"/>
      <c r="P219" s="249"/>
      <c r="Q219" s="250">
        <f t="shared" si="108"/>
        <v>0</v>
      </c>
      <c r="R219" s="249"/>
      <c r="S219" s="249"/>
      <c r="T219" s="250">
        <f t="shared" si="109"/>
        <v>0</v>
      </c>
      <c r="U219" s="249"/>
      <c r="V219" s="249"/>
      <c r="W219" s="250">
        <f t="shared" si="110"/>
        <v>0</v>
      </c>
      <c r="X219" s="249"/>
      <c r="Y219" s="249"/>
      <c r="Z219" s="250">
        <f t="shared" si="111"/>
        <v>0</v>
      </c>
      <c r="AA219" s="249"/>
      <c r="AB219" s="249"/>
      <c r="AC219" s="250">
        <f t="shared" si="112"/>
        <v>0</v>
      </c>
      <c r="AD219" s="249"/>
      <c r="AE219" s="249"/>
      <c r="AF219" s="250">
        <f t="shared" si="113"/>
        <v>0</v>
      </c>
      <c r="AG219" s="249"/>
      <c r="AH219" s="249"/>
      <c r="AI219" s="250">
        <f t="shared" si="114"/>
        <v>0</v>
      </c>
      <c r="AJ219" s="249"/>
      <c r="AK219" s="249"/>
      <c r="AL219" s="250">
        <f t="shared" si="115"/>
        <v>0</v>
      </c>
      <c r="AM219" s="249"/>
      <c r="AN219" s="249"/>
      <c r="AO219" s="250">
        <f t="shared" si="116"/>
        <v>0</v>
      </c>
      <c r="AP219" s="249"/>
      <c r="AQ219" s="249"/>
      <c r="AR219" s="250">
        <f t="shared" si="117"/>
        <v>0</v>
      </c>
      <c r="AS219" s="249"/>
      <c r="AT219" s="249"/>
      <c r="AU219" s="250">
        <f t="shared" si="118"/>
        <v>0</v>
      </c>
      <c r="AV219" s="249"/>
      <c r="AW219" s="249"/>
      <c r="AX219" s="250">
        <f t="shared" si="119"/>
        <v>0</v>
      </c>
      <c r="AY219" s="249"/>
      <c r="AZ219" s="249"/>
      <c r="BA219" s="250">
        <f t="shared" si="120"/>
        <v>0</v>
      </c>
      <c r="BB219" s="249"/>
      <c r="BC219" s="249"/>
      <c r="BD219" s="250">
        <f t="shared" si="121"/>
        <v>0</v>
      </c>
    </row>
    <row r="220" spans="1:56">
      <c r="A220" s="251"/>
      <c r="B220" s="259" t="s">
        <v>326</v>
      </c>
      <c r="C220" s="249">
        <v>2285</v>
      </c>
      <c r="D220" s="249">
        <v>2399</v>
      </c>
      <c r="E220" s="508">
        <f t="shared" si="104"/>
        <v>4.989059080962801</v>
      </c>
      <c r="F220" s="249"/>
      <c r="G220" s="249"/>
      <c r="H220" s="437">
        <f t="shared" si="105"/>
        <v>0</v>
      </c>
      <c r="I220" s="249"/>
      <c r="J220" s="249"/>
      <c r="K220" s="437">
        <f t="shared" si="106"/>
        <v>0</v>
      </c>
      <c r="L220" s="249"/>
      <c r="M220" s="249"/>
      <c r="N220" s="250">
        <f t="shared" si="107"/>
        <v>0</v>
      </c>
      <c r="O220" s="249"/>
      <c r="P220" s="249"/>
      <c r="Q220" s="250">
        <f t="shared" si="108"/>
        <v>0</v>
      </c>
      <c r="R220" s="249"/>
      <c r="S220" s="249"/>
      <c r="T220" s="250">
        <f t="shared" si="109"/>
        <v>0</v>
      </c>
      <c r="U220" s="249"/>
      <c r="V220" s="249"/>
      <c r="W220" s="250">
        <f t="shared" si="110"/>
        <v>0</v>
      </c>
      <c r="X220" s="249"/>
      <c r="Y220" s="249"/>
      <c r="Z220" s="250">
        <f t="shared" si="111"/>
        <v>0</v>
      </c>
      <c r="AA220" s="249"/>
      <c r="AB220" s="249"/>
      <c r="AC220" s="250">
        <f t="shared" si="112"/>
        <v>0</v>
      </c>
      <c r="AD220" s="249"/>
      <c r="AE220" s="249"/>
      <c r="AF220" s="250">
        <f t="shared" si="113"/>
        <v>0</v>
      </c>
      <c r="AG220" s="249"/>
      <c r="AH220" s="249"/>
      <c r="AI220" s="250">
        <f t="shared" si="114"/>
        <v>0</v>
      </c>
      <c r="AJ220" s="249"/>
      <c r="AK220" s="249"/>
      <c r="AL220" s="250">
        <f t="shared" si="115"/>
        <v>0</v>
      </c>
      <c r="AM220" s="249"/>
      <c r="AN220" s="249"/>
      <c r="AO220" s="250">
        <f t="shared" si="116"/>
        <v>0</v>
      </c>
      <c r="AP220" s="249"/>
      <c r="AQ220" s="249"/>
      <c r="AR220" s="250">
        <f t="shared" si="117"/>
        <v>0</v>
      </c>
      <c r="AS220" s="249"/>
      <c r="AT220" s="249"/>
      <c r="AU220" s="250">
        <f t="shared" si="118"/>
        <v>0</v>
      </c>
      <c r="AV220" s="249"/>
      <c r="AW220" s="249"/>
      <c r="AX220" s="250">
        <f t="shared" si="119"/>
        <v>0</v>
      </c>
      <c r="AY220" s="249"/>
      <c r="AZ220" s="249"/>
      <c r="BA220" s="250">
        <f t="shared" si="120"/>
        <v>0</v>
      </c>
      <c r="BB220" s="249"/>
      <c r="BC220" s="249"/>
      <c r="BD220" s="250">
        <f t="shared" si="121"/>
        <v>0</v>
      </c>
    </row>
    <row r="221" spans="1:56">
      <c r="A221" s="251"/>
      <c r="B221" s="259" t="s">
        <v>327</v>
      </c>
      <c r="C221" s="249"/>
      <c r="D221" s="249"/>
      <c r="E221" s="508"/>
      <c r="F221" s="249"/>
      <c r="G221" s="249"/>
      <c r="H221" s="437">
        <f t="shared" si="105"/>
        <v>0</v>
      </c>
      <c r="I221" s="249"/>
      <c r="J221" s="249"/>
      <c r="K221" s="437">
        <f t="shared" si="106"/>
        <v>0</v>
      </c>
      <c r="L221" s="249"/>
      <c r="M221" s="249"/>
      <c r="N221" s="250">
        <f t="shared" si="107"/>
        <v>0</v>
      </c>
      <c r="O221" s="249"/>
      <c r="P221" s="249"/>
      <c r="Q221" s="250">
        <f t="shared" si="108"/>
        <v>0</v>
      </c>
      <c r="R221" s="249"/>
      <c r="S221" s="249"/>
      <c r="T221" s="250">
        <f t="shared" si="109"/>
        <v>0</v>
      </c>
      <c r="U221" s="249"/>
      <c r="V221" s="249"/>
      <c r="W221" s="250">
        <f t="shared" si="110"/>
        <v>0</v>
      </c>
      <c r="X221" s="249"/>
      <c r="Y221" s="249"/>
      <c r="Z221" s="250">
        <f t="shared" si="111"/>
        <v>0</v>
      </c>
      <c r="AA221" s="249"/>
      <c r="AB221" s="249"/>
      <c r="AC221" s="250">
        <f t="shared" si="112"/>
        <v>0</v>
      </c>
      <c r="AD221" s="249"/>
      <c r="AE221" s="249"/>
      <c r="AF221" s="250">
        <f t="shared" si="113"/>
        <v>0</v>
      </c>
      <c r="AG221" s="249"/>
      <c r="AH221" s="249"/>
      <c r="AI221" s="250">
        <f t="shared" si="114"/>
        <v>0</v>
      </c>
      <c r="AJ221" s="249"/>
      <c r="AK221" s="249"/>
      <c r="AL221" s="250">
        <f t="shared" si="115"/>
        <v>0</v>
      </c>
      <c r="AM221" s="249"/>
      <c r="AN221" s="249"/>
      <c r="AO221" s="250">
        <f t="shared" si="116"/>
        <v>0</v>
      </c>
      <c r="AP221" s="249"/>
      <c r="AQ221" s="249"/>
      <c r="AR221" s="250">
        <f t="shared" si="117"/>
        <v>0</v>
      </c>
      <c r="AS221" s="249"/>
      <c r="AT221" s="249"/>
      <c r="AU221" s="250">
        <f t="shared" si="118"/>
        <v>0</v>
      </c>
      <c r="AV221" s="249"/>
      <c r="AW221" s="249"/>
      <c r="AX221" s="250">
        <f t="shared" si="119"/>
        <v>0</v>
      </c>
      <c r="AY221" s="249"/>
      <c r="AZ221" s="249"/>
      <c r="BA221" s="250">
        <f t="shared" si="120"/>
        <v>0</v>
      </c>
      <c r="BB221" s="249"/>
      <c r="BC221" s="249"/>
      <c r="BD221" s="250">
        <f t="shared" si="121"/>
        <v>0</v>
      </c>
    </row>
    <row r="222" spans="1:56" s="255" customFormat="1" ht="20.25" customHeight="1">
      <c r="A222" s="252"/>
      <c r="B222" s="427" t="s">
        <v>315</v>
      </c>
      <c r="C222" s="253">
        <v>2285</v>
      </c>
      <c r="D222" s="253">
        <v>2399</v>
      </c>
      <c r="E222" s="511">
        <f>IF(C222&gt;0,(((D222-C222)/C222)*100),0)</f>
        <v>4.989059080962801</v>
      </c>
      <c r="F222" s="253"/>
      <c r="G222" s="253"/>
      <c r="H222" s="440">
        <f t="shared" si="105"/>
        <v>0</v>
      </c>
      <c r="I222" s="253"/>
      <c r="J222" s="253"/>
      <c r="K222" s="440">
        <f t="shared" si="106"/>
        <v>0</v>
      </c>
      <c r="L222" s="253"/>
      <c r="M222" s="253"/>
      <c r="N222" s="254">
        <f t="shared" si="107"/>
        <v>0</v>
      </c>
      <c r="O222" s="253"/>
      <c r="P222" s="253"/>
      <c r="Q222" s="254">
        <f t="shared" si="108"/>
        <v>0</v>
      </c>
      <c r="R222" s="253"/>
      <c r="S222" s="253"/>
      <c r="T222" s="254">
        <f t="shared" si="109"/>
        <v>0</v>
      </c>
      <c r="U222" s="253"/>
      <c r="V222" s="253"/>
      <c r="W222" s="254">
        <f t="shared" si="110"/>
        <v>0</v>
      </c>
      <c r="X222" s="253"/>
      <c r="Y222" s="253"/>
      <c r="Z222" s="254">
        <f t="shared" si="111"/>
        <v>0</v>
      </c>
      <c r="AA222" s="253"/>
      <c r="AB222" s="253"/>
      <c r="AC222" s="254">
        <f t="shared" si="112"/>
        <v>0</v>
      </c>
      <c r="AD222" s="253"/>
      <c r="AE222" s="253"/>
      <c r="AF222" s="254">
        <f t="shared" si="113"/>
        <v>0</v>
      </c>
      <c r="AG222" s="253"/>
      <c r="AH222" s="253"/>
      <c r="AI222" s="254">
        <f t="shared" si="114"/>
        <v>0</v>
      </c>
      <c r="AJ222" s="253"/>
      <c r="AK222" s="253"/>
      <c r="AL222" s="254">
        <f t="shared" si="115"/>
        <v>0</v>
      </c>
      <c r="AM222" s="253"/>
      <c r="AN222" s="253"/>
      <c r="AO222" s="254">
        <f t="shared" si="116"/>
        <v>0</v>
      </c>
      <c r="AP222" s="253"/>
      <c r="AQ222" s="253"/>
      <c r="AR222" s="254">
        <f t="shared" si="117"/>
        <v>0</v>
      </c>
      <c r="AS222" s="253"/>
      <c r="AT222" s="253"/>
      <c r="AU222" s="254">
        <f t="shared" si="118"/>
        <v>0</v>
      </c>
      <c r="AV222" s="253"/>
      <c r="AW222" s="253"/>
      <c r="AX222" s="254">
        <f t="shared" si="119"/>
        <v>0</v>
      </c>
      <c r="AY222" s="253"/>
      <c r="AZ222" s="253"/>
      <c r="BA222" s="254">
        <f t="shared" si="120"/>
        <v>0</v>
      </c>
      <c r="BB222" s="253"/>
      <c r="BC222" s="253"/>
      <c r="BD222" s="254">
        <f t="shared" si="121"/>
        <v>0</v>
      </c>
    </row>
    <row r="223" spans="1:56">
      <c r="A223" s="256"/>
      <c r="B223" s="428" t="s">
        <v>198</v>
      </c>
      <c r="C223" s="257"/>
      <c r="D223" s="257"/>
      <c r="E223" s="510"/>
      <c r="F223" s="257"/>
      <c r="G223" s="257"/>
      <c r="H223" s="439"/>
      <c r="I223" s="257"/>
      <c r="J223" s="257"/>
      <c r="K223" s="439"/>
      <c r="L223" s="257"/>
      <c r="M223" s="257"/>
      <c r="N223" s="258"/>
      <c r="O223" s="257">
        <v>12194</v>
      </c>
      <c r="P223" s="257">
        <v>13104</v>
      </c>
      <c r="Q223" s="258">
        <f t="shared" si="108"/>
        <v>7.4626865671641784</v>
      </c>
      <c r="R223" s="257">
        <v>31740</v>
      </c>
      <c r="S223" s="257">
        <v>33412</v>
      </c>
      <c r="T223" s="258">
        <f t="shared" si="109"/>
        <v>5.2678008821676121</v>
      </c>
      <c r="U223" s="257">
        <v>20711.5</v>
      </c>
      <c r="V223" s="257">
        <v>23187.5</v>
      </c>
      <c r="W223" s="258">
        <f t="shared" si="110"/>
        <v>11.954711150809937</v>
      </c>
      <c r="X223" s="257">
        <v>40935.5</v>
      </c>
      <c r="Y223" s="257">
        <v>45521.5</v>
      </c>
      <c r="Z223" s="258">
        <f t="shared" si="111"/>
        <v>11.202990069743866</v>
      </c>
      <c r="AA223" s="257">
        <v>18978</v>
      </c>
      <c r="AB223" s="257">
        <v>20846</v>
      </c>
      <c r="AC223" s="258">
        <f t="shared" si="112"/>
        <v>9.8429760775634954</v>
      </c>
      <c r="AD223" s="257">
        <v>44078</v>
      </c>
      <c r="AE223" s="257">
        <v>48456</v>
      </c>
      <c r="AF223" s="258">
        <f t="shared" si="113"/>
        <v>9.9323925767956798</v>
      </c>
      <c r="AG223" s="257">
        <v>19246.5</v>
      </c>
      <c r="AH223" s="257">
        <v>21153.5</v>
      </c>
      <c r="AI223" s="258">
        <f t="shared" si="114"/>
        <v>9.9082950146779947</v>
      </c>
      <c r="AJ223" s="257">
        <v>26011.5</v>
      </c>
      <c r="AK223" s="257">
        <v>28593.5</v>
      </c>
      <c r="AL223" s="258">
        <f t="shared" si="115"/>
        <v>9.9263787171058944</v>
      </c>
      <c r="AM223" s="257"/>
      <c r="AN223" s="257"/>
      <c r="AO223" s="258">
        <f t="shared" si="116"/>
        <v>0</v>
      </c>
      <c r="AP223" s="257"/>
      <c r="AQ223" s="257"/>
      <c r="AR223" s="258">
        <f t="shared" si="117"/>
        <v>0</v>
      </c>
      <c r="AS223" s="257"/>
      <c r="AT223" s="257"/>
      <c r="AU223" s="258">
        <f t="shared" si="118"/>
        <v>0</v>
      </c>
      <c r="AV223" s="257"/>
      <c r="AW223" s="257"/>
      <c r="AX223" s="258">
        <f t="shared" si="119"/>
        <v>0</v>
      </c>
      <c r="AY223" s="257">
        <v>15348</v>
      </c>
      <c r="AZ223" s="257">
        <v>18366</v>
      </c>
      <c r="BA223" s="258">
        <f t="shared" si="120"/>
        <v>19.663799843627835</v>
      </c>
      <c r="BB223" s="257">
        <v>40724</v>
      </c>
      <c r="BC223" s="257">
        <v>40834</v>
      </c>
      <c r="BD223" s="258">
        <f t="shared" si="121"/>
        <v>0.27011099106178171</v>
      </c>
    </row>
    <row r="224" spans="1:56">
      <c r="A224" s="247" t="s">
        <v>216</v>
      </c>
      <c r="B224" s="259" t="s">
        <v>384</v>
      </c>
      <c r="C224" s="249">
        <v>7962</v>
      </c>
      <c r="D224" s="249">
        <v>8186</v>
      </c>
      <c r="E224" s="508">
        <f t="shared" ref="E224:E237" si="122">IF(C224&gt;0,(((D224-C224)/C224)*100),0)</f>
        <v>2.8133634765134388</v>
      </c>
      <c r="F224" s="249">
        <v>16598</v>
      </c>
      <c r="G224" s="249">
        <v>16598</v>
      </c>
      <c r="H224" s="437">
        <f t="shared" ref="H224:H239" si="123">IF(F224&gt;0,(((G224-F224)/F224)*100),0)</f>
        <v>0</v>
      </c>
      <c r="I224" s="249">
        <v>8551.1999999999989</v>
      </c>
      <c r="J224" s="249">
        <v>9278.4</v>
      </c>
      <c r="K224" s="437">
        <f t="shared" ref="K224:K239" si="124">IF(I224&gt;0,(((J224-I224)/I224)*100),0)</f>
        <v>8.5040696042660784</v>
      </c>
      <c r="L224" s="249">
        <v>16132.8</v>
      </c>
      <c r="M224" s="249">
        <v>16132.8</v>
      </c>
      <c r="N224" s="250">
        <f t="shared" ref="N224:N239" si="125">IF(L224&gt;0,(((M224-L224)/L224)*100),0)</f>
        <v>0</v>
      </c>
      <c r="O224" s="249"/>
      <c r="P224" s="249"/>
      <c r="Q224" s="250">
        <f t="shared" si="108"/>
        <v>0</v>
      </c>
      <c r="R224" s="249"/>
      <c r="S224" s="249"/>
      <c r="T224" s="250">
        <f t="shared" si="109"/>
        <v>0</v>
      </c>
      <c r="U224" s="249"/>
      <c r="V224" s="249"/>
      <c r="W224" s="250">
        <f t="shared" si="110"/>
        <v>0</v>
      </c>
      <c r="X224" s="249"/>
      <c r="Y224" s="249"/>
      <c r="Z224" s="250">
        <f t="shared" si="111"/>
        <v>0</v>
      </c>
      <c r="AA224" s="249"/>
      <c r="AB224" s="249"/>
      <c r="AC224" s="250">
        <f t="shared" si="112"/>
        <v>0</v>
      </c>
      <c r="AD224" s="249"/>
      <c r="AE224" s="249"/>
      <c r="AF224" s="250">
        <f t="shared" si="113"/>
        <v>0</v>
      </c>
      <c r="AG224" s="249"/>
      <c r="AH224" s="249"/>
      <c r="AI224" s="250">
        <f t="shared" si="114"/>
        <v>0</v>
      </c>
      <c r="AJ224" s="249"/>
      <c r="AK224" s="249"/>
      <c r="AL224" s="250">
        <f t="shared" si="115"/>
        <v>0</v>
      </c>
      <c r="AM224" s="249"/>
      <c r="AN224" s="249"/>
      <c r="AO224" s="250">
        <f t="shared" si="116"/>
        <v>0</v>
      </c>
      <c r="AP224" s="249"/>
      <c r="AQ224" s="249"/>
      <c r="AR224" s="250">
        <f t="shared" si="117"/>
        <v>0</v>
      </c>
      <c r="AS224" s="249"/>
      <c r="AT224" s="249"/>
      <c r="AU224" s="250">
        <f t="shared" si="118"/>
        <v>0</v>
      </c>
      <c r="AV224" s="249"/>
      <c r="AW224" s="249"/>
      <c r="AX224" s="250">
        <f t="shared" si="119"/>
        <v>0</v>
      </c>
      <c r="AY224" s="249"/>
      <c r="AZ224" s="249"/>
      <c r="BA224" s="250">
        <f t="shared" si="120"/>
        <v>0</v>
      </c>
      <c r="BB224" s="249"/>
      <c r="BC224" s="249"/>
      <c r="BD224" s="250">
        <f t="shared" si="121"/>
        <v>0</v>
      </c>
    </row>
    <row r="225" spans="1:56">
      <c r="A225" s="251"/>
      <c r="B225" s="259" t="s">
        <v>385</v>
      </c>
      <c r="C225" s="249">
        <v>6308</v>
      </c>
      <c r="D225" s="249">
        <v>6308</v>
      </c>
      <c r="E225" s="508">
        <f t="shared" si="122"/>
        <v>0</v>
      </c>
      <c r="F225" s="249">
        <v>14356</v>
      </c>
      <c r="G225" s="249">
        <v>14970</v>
      </c>
      <c r="H225" s="437">
        <f t="shared" si="123"/>
        <v>4.2769573697408747</v>
      </c>
      <c r="I225" s="249">
        <v>7027.2</v>
      </c>
      <c r="J225" s="249">
        <v>8006.4</v>
      </c>
      <c r="K225" s="437">
        <f t="shared" si="124"/>
        <v>13.934426229508196</v>
      </c>
      <c r="L225" s="249">
        <v>14702.4</v>
      </c>
      <c r="M225" s="249">
        <v>15984</v>
      </c>
      <c r="N225" s="250">
        <f t="shared" si="125"/>
        <v>8.7169441723800229</v>
      </c>
      <c r="O225" s="249"/>
      <c r="P225" s="249"/>
      <c r="Q225" s="250">
        <f t="shared" si="108"/>
        <v>0</v>
      </c>
      <c r="R225" s="249"/>
      <c r="S225" s="249"/>
      <c r="T225" s="250">
        <f t="shared" si="109"/>
        <v>0</v>
      </c>
      <c r="U225" s="249"/>
      <c r="V225" s="249"/>
      <c r="W225" s="250">
        <f t="shared" si="110"/>
        <v>0</v>
      </c>
      <c r="X225" s="249"/>
      <c r="Y225" s="249"/>
      <c r="Z225" s="250">
        <f t="shared" si="111"/>
        <v>0</v>
      </c>
      <c r="AA225" s="249"/>
      <c r="AB225" s="249"/>
      <c r="AC225" s="250">
        <f t="shared" si="112"/>
        <v>0</v>
      </c>
      <c r="AD225" s="249"/>
      <c r="AE225" s="249"/>
      <c r="AF225" s="250">
        <f t="shared" si="113"/>
        <v>0</v>
      </c>
      <c r="AG225" s="249"/>
      <c r="AH225" s="249"/>
      <c r="AI225" s="250">
        <f t="shared" si="114"/>
        <v>0</v>
      </c>
      <c r="AJ225" s="249"/>
      <c r="AK225" s="249"/>
      <c r="AL225" s="250">
        <f t="shared" si="115"/>
        <v>0</v>
      </c>
      <c r="AM225" s="249"/>
      <c r="AN225" s="249"/>
      <c r="AO225" s="250">
        <f t="shared" si="116"/>
        <v>0</v>
      </c>
      <c r="AP225" s="249"/>
      <c r="AQ225" s="249"/>
      <c r="AR225" s="250">
        <f t="shared" si="117"/>
        <v>0</v>
      </c>
      <c r="AS225" s="249"/>
      <c r="AT225" s="249"/>
      <c r="AU225" s="250">
        <f t="shared" si="118"/>
        <v>0</v>
      </c>
      <c r="AV225" s="249"/>
      <c r="AW225" s="249"/>
      <c r="AX225" s="250">
        <f t="shared" si="119"/>
        <v>0</v>
      </c>
      <c r="AY225" s="249"/>
      <c r="AZ225" s="249"/>
      <c r="BA225" s="250">
        <f t="shared" si="120"/>
        <v>0</v>
      </c>
      <c r="BB225" s="249"/>
      <c r="BC225" s="249"/>
      <c r="BD225" s="250">
        <f t="shared" si="121"/>
        <v>0</v>
      </c>
    </row>
    <row r="226" spans="1:56">
      <c r="A226" s="251"/>
      <c r="B226" s="259" t="s">
        <v>386</v>
      </c>
      <c r="C226" s="249">
        <v>5853</v>
      </c>
      <c r="D226" s="249">
        <v>6136</v>
      </c>
      <c r="E226" s="508">
        <f t="shared" si="122"/>
        <v>4.8351272851529137</v>
      </c>
      <c r="F226" s="249">
        <v>14147.5</v>
      </c>
      <c r="G226" s="249">
        <v>14508</v>
      </c>
      <c r="H226" s="437">
        <f t="shared" si="123"/>
        <v>2.5481533839901043</v>
      </c>
      <c r="I226" s="249">
        <v>5405.4</v>
      </c>
      <c r="J226" s="249">
        <v>5883</v>
      </c>
      <c r="K226" s="437">
        <f t="shared" si="124"/>
        <v>8.8356088356088431</v>
      </c>
      <c r="L226" s="249">
        <v>12050.4</v>
      </c>
      <c r="M226" s="249">
        <v>12471</v>
      </c>
      <c r="N226" s="250">
        <f t="shared" si="125"/>
        <v>3.4903405696076506</v>
      </c>
      <c r="O226" s="249"/>
      <c r="P226" s="249"/>
      <c r="Q226" s="250">
        <f t="shared" si="108"/>
        <v>0</v>
      </c>
      <c r="R226" s="249"/>
      <c r="S226" s="249"/>
      <c r="T226" s="250">
        <f t="shared" si="109"/>
        <v>0</v>
      </c>
      <c r="U226" s="249"/>
      <c r="V226" s="249"/>
      <c r="W226" s="250">
        <f t="shared" si="110"/>
        <v>0</v>
      </c>
      <c r="X226" s="249"/>
      <c r="Y226" s="249"/>
      <c r="Z226" s="250">
        <f t="shared" si="111"/>
        <v>0</v>
      </c>
      <c r="AA226" s="249"/>
      <c r="AB226" s="249"/>
      <c r="AC226" s="250">
        <f t="shared" si="112"/>
        <v>0</v>
      </c>
      <c r="AD226" s="249"/>
      <c r="AE226" s="249"/>
      <c r="AF226" s="250">
        <f t="shared" si="113"/>
        <v>0</v>
      </c>
      <c r="AG226" s="249"/>
      <c r="AH226" s="249"/>
      <c r="AI226" s="250">
        <f t="shared" si="114"/>
        <v>0</v>
      </c>
      <c r="AJ226" s="249"/>
      <c r="AK226" s="249"/>
      <c r="AL226" s="250">
        <f t="shared" si="115"/>
        <v>0</v>
      </c>
      <c r="AM226" s="249"/>
      <c r="AN226" s="249"/>
      <c r="AO226" s="250">
        <f t="shared" si="116"/>
        <v>0</v>
      </c>
      <c r="AP226" s="249"/>
      <c r="AQ226" s="249"/>
      <c r="AR226" s="250">
        <f t="shared" si="117"/>
        <v>0</v>
      </c>
      <c r="AS226" s="249"/>
      <c r="AT226" s="249"/>
      <c r="AU226" s="250">
        <f t="shared" si="118"/>
        <v>0</v>
      </c>
      <c r="AV226" s="249"/>
      <c r="AW226" s="249"/>
      <c r="AX226" s="250">
        <f t="shared" si="119"/>
        <v>0</v>
      </c>
      <c r="AY226" s="249"/>
      <c r="AZ226" s="249"/>
      <c r="BA226" s="250">
        <f t="shared" si="120"/>
        <v>0</v>
      </c>
      <c r="BB226" s="249"/>
      <c r="BC226" s="249"/>
      <c r="BD226" s="250">
        <f t="shared" si="121"/>
        <v>0</v>
      </c>
    </row>
    <row r="227" spans="1:56">
      <c r="A227" s="251"/>
      <c r="B227" s="259" t="s">
        <v>387</v>
      </c>
      <c r="C227" s="249">
        <v>5375</v>
      </c>
      <c r="D227" s="249">
        <v>5553</v>
      </c>
      <c r="E227" s="508">
        <f t="shared" si="122"/>
        <v>3.311627906976744</v>
      </c>
      <c r="F227" s="249">
        <v>13260</v>
      </c>
      <c r="G227" s="249">
        <v>13720</v>
      </c>
      <c r="H227" s="437">
        <f t="shared" si="123"/>
        <v>3.4690799396681751</v>
      </c>
      <c r="I227" s="249">
        <v>4747.7999999999993</v>
      </c>
      <c r="J227" s="249">
        <v>5059.7999999999993</v>
      </c>
      <c r="K227" s="437">
        <f t="shared" si="124"/>
        <v>6.5714646783773549</v>
      </c>
      <c r="L227" s="249">
        <v>11093.4</v>
      </c>
      <c r="M227" s="249">
        <v>11430</v>
      </c>
      <c r="N227" s="250">
        <f t="shared" si="125"/>
        <v>3.0342365730975205</v>
      </c>
      <c r="O227" s="249"/>
      <c r="P227" s="249"/>
      <c r="Q227" s="250">
        <f t="shared" si="108"/>
        <v>0</v>
      </c>
      <c r="R227" s="249"/>
      <c r="S227" s="249"/>
      <c r="T227" s="250">
        <f t="shared" si="109"/>
        <v>0</v>
      </c>
      <c r="U227" s="249"/>
      <c r="V227" s="249"/>
      <c r="W227" s="250">
        <f t="shared" si="110"/>
        <v>0</v>
      </c>
      <c r="X227" s="249"/>
      <c r="Y227" s="249"/>
      <c r="Z227" s="250">
        <f t="shared" si="111"/>
        <v>0</v>
      </c>
      <c r="AA227" s="249"/>
      <c r="AB227" s="249"/>
      <c r="AC227" s="250">
        <f t="shared" si="112"/>
        <v>0</v>
      </c>
      <c r="AD227" s="249"/>
      <c r="AE227" s="249"/>
      <c r="AF227" s="250">
        <f t="shared" si="113"/>
        <v>0</v>
      </c>
      <c r="AG227" s="249"/>
      <c r="AH227" s="249"/>
      <c r="AI227" s="250">
        <f t="shared" si="114"/>
        <v>0</v>
      </c>
      <c r="AJ227" s="249"/>
      <c r="AK227" s="249"/>
      <c r="AL227" s="250">
        <f t="shared" si="115"/>
        <v>0</v>
      </c>
      <c r="AM227" s="249"/>
      <c r="AN227" s="249"/>
      <c r="AO227" s="250">
        <f t="shared" si="116"/>
        <v>0</v>
      </c>
      <c r="AP227" s="249"/>
      <c r="AQ227" s="249"/>
      <c r="AR227" s="250">
        <f t="shared" si="117"/>
        <v>0</v>
      </c>
      <c r="AS227" s="249"/>
      <c r="AT227" s="249"/>
      <c r="AU227" s="250">
        <f t="shared" si="118"/>
        <v>0</v>
      </c>
      <c r="AV227" s="249"/>
      <c r="AW227" s="249"/>
      <c r="AX227" s="250">
        <f t="shared" si="119"/>
        <v>0</v>
      </c>
      <c r="AY227" s="249"/>
      <c r="AZ227" s="249"/>
      <c r="BA227" s="250">
        <f t="shared" si="120"/>
        <v>0</v>
      </c>
      <c r="BB227" s="249"/>
      <c r="BC227" s="249"/>
      <c r="BD227" s="250">
        <f t="shared" si="121"/>
        <v>0</v>
      </c>
    </row>
    <row r="228" spans="1:56">
      <c r="A228" s="251"/>
      <c r="B228" s="259" t="s">
        <v>388</v>
      </c>
      <c r="C228" s="249">
        <v>5050</v>
      </c>
      <c r="D228" s="249">
        <v>5291</v>
      </c>
      <c r="E228" s="508">
        <f t="shared" si="122"/>
        <v>4.7722772277227721</v>
      </c>
      <c r="F228" s="249">
        <v>13336</v>
      </c>
      <c r="G228" s="249">
        <v>13581</v>
      </c>
      <c r="H228" s="437">
        <f t="shared" si="123"/>
        <v>1.837132573485303</v>
      </c>
      <c r="I228" s="249">
        <v>4665.6000000000004</v>
      </c>
      <c r="J228" s="249">
        <v>4830</v>
      </c>
      <c r="K228" s="437">
        <f t="shared" si="124"/>
        <v>3.5236625514403208</v>
      </c>
      <c r="L228" s="249">
        <v>10917.599999999999</v>
      </c>
      <c r="M228" s="249">
        <v>11154</v>
      </c>
      <c r="N228" s="250">
        <f t="shared" si="125"/>
        <v>2.165311057375261</v>
      </c>
      <c r="O228" s="249"/>
      <c r="P228" s="249"/>
      <c r="Q228" s="250">
        <f t="shared" si="108"/>
        <v>0</v>
      </c>
      <c r="R228" s="249"/>
      <c r="S228" s="249"/>
      <c r="T228" s="250">
        <f t="shared" si="109"/>
        <v>0</v>
      </c>
      <c r="U228" s="249"/>
      <c r="V228" s="249"/>
      <c r="W228" s="250">
        <f t="shared" si="110"/>
        <v>0</v>
      </c>
      <c r="X228" s="249"/>
      <c r="Y228" s="249"/>
      <c r="Z228" s="250">
        <f t="shared" si="111"/>
        <v>0</v>
      </c>
      <c r="AA228" s="249"/>
      <c r="AB228" s="249"/>
      <c r="AC228" s="250">
        <f t="shared" si="112"/>
        <v>0</v>
      </c>
      <c r="AD228" s="249"/>
      <c r="AE228" s="249"/>
      <c r="AF228" s="250">
        <f t="shared" si="113"/>
        <v>0</v>
      </c>
      <c r="AG228" s="249"/>
      <c r="AH228" s="249"/>
      <c r="AI228" s="250">
        <f t="shared" si="114"/>
        <v>0</v>
      </c>
      <c r="AJ228" s="249"/>
      <c r="AK228" s="249"/>
      <c r="AL228" s="250">
        <f t="shared" si="115"/>
        <v>0</v>
      </c>
      <c r="AM228" s="249"/>
      <c r="AN228" s="249"/>
      <c r="AO228" s="250">
        <f t="shared" si="116"/>
        <v>0</v>
      </c>
      <c r="AP228" s="249"/>
      <c r="AQ228" s="249"/>
      <c r="AR228" s="250">
        <f t="shared" si="117"/>
        <v>0</v>
      </c>
      <c r="AS228" s="249"/>
      <c r="AT228" s="249"/>
      <c r="AU228" s="250">
        <f t="shared" si="118"/>
        <v>0</v>
      </c>
      <c r="AV228" s="249"/>
      <c r="AW228" s="249"/>
      <c r="AX228" s="250">
        <f t="shared" si="119"/>
        <v>0</v>
      </c>
      <c r="AY228" s="249"/>
      <c r="AZ228" s="249"/>
      <c r="BA228" s="250">
        <f t="shared" si="120"/>
        <v>0</v>
      </c>
      <c r="BB228" s="249"/>
      <c r="BC228" s="249"/>
      <c r="BD228" s="250">
        <f t="shared" si="121"/>
        <v>0</v>
      </c>
    </row>
    <row r="229" spans="1:56">
      <c r="A229" s="251"/>
      <c r="B229" s="259" t="s">
        <v>389</v>
      </c>
      <c r="C229" s="249">
        <v>6870</v>
      </c>
      <c r="D229" s="249">
        <v>7186</v>
      </c>
      <c r="E229" s="508">
        <f t="shared" si="122"/>
        <v>4.5997088791848624</v>
      </c>
      <c r="F229" s="249">
        <v>15148</v>
      </c>
      <c r="G229" s="249">
        <v>15493</v>
      </c>
      <c r="H229" s="437">
        <f t="shared" si="123"/>
        <v>2.2775283865856881</v>
      </c>
      <c r="I229" s="249">
        <v>7880.4</v>
      </c>
      <c r="J229" s="249">
        <v>7230</v>
      </c>
      <c r="K229" s="437">
        <f t="shared" si="124"/>
        <v>-8.2533881528856359</v>
      </c>
      <c r="L229" s="249">
        <v>14907.599999999999</v>
      </c>
      <c r="M229" s="249">
        <v>13974</v>
      </c>
      <c r="N229" s="466">
        <f t="shared" si="125"/>
        <v>-6.2625774772599119</v>
      </c>
      <c r="O229" s="249"/>
      <c r="P229" s="249"/>
      <c r="Q229" s="250">
        <f t="shared" si="108"/>
        <v>0</v>
      </c>
      <c r="R229" s="249"/>
      <c r="S229" s="249"/>
      <c r="T229" s="250">
        <f t="shared" si="109"/>
        <v>0</v>
      </c>
      <c r="U229" s="249"/>
      <c r="V229" s="249"/>
      <c r="W229" s="250">
        <f t="shared" si="110"/>
        <v>0</v>
      </c>
      <c r="X229" s="249"/>
      <c r="Y229" s="249"/>
      <c r="Z229" s="250">
        <f t="shared" si="111"/>
        <v>0</v>
      </c>
      <c r="AA229" s="249"/>
      <c r="AB229" s="249"/>
      <c r="AC229" s="250">
        <f t="shared" si="112"/>
        <v>0</v>
      </c>
      <c r="AD229" s="249"/>
      <c r="AE229" s="249"/>
      <c r="AF229" s="250">
        <f t="shared" si="113"/>
        <v>0</v>
      </c>
      <c r="AG229" s="249"/>
      <c r="AH229" s="249"/>
      <c r="AI229" s="250">
        <f t="shared" si="114"/>
        <v>0</v>
      </c>
      <c r="AJ229" s="249"/>
      <c r="AK229" s="249"/>
      <c r="AL229" s="250">
        <f t="shared" si="115"/>
        <v>0</v>
      </c>
      <c r="AM229" s="249"/>
      <c r="AN229" s="249"/>
      <c r="AO229" s="250">
        <f t="shared" si="116"/>
        <v>0</v>
      </c>
      <c r="AP229" s="249"/>
      <c r="AQ229" s="249"/>
      <c r="AR229" s="250">
        <f t="shared" si="117"/>
        <v>0</v>
      </c>
      <c r="AS229" s="249"/>
      <c r="AT229" s="249"/>
      <c r="AU229" s="250">
        <f t="shared" si="118"/>
        <v>0</v>
      </c>
      <c r="AV229" s="249"/>
      <c r="AW229" s="249"/>
      <c r="AX229" s="250">
        <f t="shared" si="119"/>
        <v>0</v>
      </c>
      <c r="AY229" s="249"/>
      <c r="AZ229" s="249"/>
      <c r="BA229" s="250">
        <f t="shared" si="120"/>
        <v>0</v>
      </c>
      <c r="BB229" s="249"/>
      <c r="BC229" s="249"/>
      <c r="BD229" s="250">
        <f t="shared" si="121"/>
        <v>0</v>
      </c>
    </row>
    <row r="230" spans="1:56" s="255" customFormat="1" ht="19.5" customHeight="1">
      <c r="A230" s="252"/>
      <c r="B230" s="431" t="s">
        <v>221</v>
      </c>
      <c r="C230" s="425">
        <v>5988</v>
      </c>
      <c r="D230" s="425">
        <v>6308</v>
      </c>
      <c r="E230" s="509">
        <f t="shared" si="122"/>
        <v>5.3440213760855046</v>
      </c>
      <c r="F230" s="425">
        <v>14172</v>
      </c>
      <c r="G230" s="425">
        <v>14711</v>
      </c>
      <c r="H230" s="438">
        <f t="shared" si="123"/>
        <v>3.8032740615297773</v>
      </c>
      <c r="I230" s="425">
        <v>5928</v>
      </c>
      <c r="J230" s="425">
        <v>6192</v>
      </c>
      <c r="K230" s="438">
        <f t="shared" si="124"/>
        <v>4.4534412955465585</v>
      </c>
      <c r="L230" s="425">
        <v>12446.4</v>
      </c>
      <c r="M230" s="425">
        <v>12811.199999999999</v>
      </c>
      <c r="N230" s="421">
        <f t="shared" si="125"/>
        <v>2.930967990744306</v>
      </c>
      <c r="O230" s="425"/>
      <c r="P230" s="425"/>
      <c r="Q230" s="421">
        <f t="shared" si="108"/>
        <v>0</v>
      </c>
      <c r="R230" s="425"/>
      <c r="S230" s="425"/>
      <c r="T230" s="421">
        <f t="shared" si="109"/>
        <v>0</v>
      </c>
      <c r="U230" s="425"/>
      <c r="V230" s="425"/>
      <c r="W230" s="421">
        <f t="shared" si="110"/>
        <v>0</v>
      </c>
      <c r="X230" s="425"/>
      <c r="Y230" s="425"/>
      <c r="Z230" s="421">
        <f t="shared" si="111"/>
        <v>0</v>
      </c>
      <c r="AA230" s="425"/>
      <c r="AB230" s="425"/>
      <c r="AC230" s="421">
        <f t="shared" si="112"/>
        <v>0</v>
      </c>
      <c r="AD230" s="425"/>
      <c r="AE230" s="425"/>
      <c r="AF230" s="421">
        <f t="shared" si="113"/>
        <v>0</v>
      </c>
      <c r="AG230" s="425"/>
      <c r="AH230" s="425"/>
      <c r="AI230" s="421">
        <f t="shared" si="114"/>
        <v>0</v>
      </c>
      <c r="AJ230" s="425"/>
      <c r="AK230" s="425"/>
      <c r="AL230" s="421">
        <f t="shared" si="115"/>
        <v>0</v>
      </c>
      <c r="AM230" s="425"/>
      <c r="AN230" s="425"/>
      <c r="AO230" s="421">
        <f t="shared" si="116"/>
        <v>0</v>
      </c>
      <c r="AP230" s="425"/>
      <c r="AQ230" s="425"/>
      <c r="AR230" s="421">
        <f t="shared" si="117"/>
        <v>0</v>
      </c>
      <c r="AS230" s="425"/>
      <c r="AT230" s="425"/>
      <c r="AU230" s="421">
        <f t="shared" si="118"/>
        <v>0</v>
      </c>
      <c r="AV230" s="425"/>
      <c r="AW230" s="425"/>
      <c r="AX230" s="421">
        <f t="shared" si="119"/>
        <v>0</v>
      </c>
      <c r="AY230" s="425"/>
      <c r="AZ230" s="425"/>
      <c r="BA230" s="421">
        <f t="shared" si="120"/>
        <v>0</v>
      </c>
      <c r="BB230" s="425"/>
      <c r="BC230" s="425"/>
      <c r="BD230" s="421">
        <f t="shared" si="121"/>
        <v>0</v>
      </c>
    </row>
    <row r="231" spans="1:56">
      <c r="A231" s="251"/>
      <c r="B231" s="259" t="s">
        <v>390</v>
      </c>
      <c r="C231" s="249">
        <v>1822</v>
      </c>
      <c r="D231" s="249">
        <v>1912</v>
      </c>
      <c r="E231" s="508">
        <f t="shared" si="122"/>
        <v>4.9396267837541163</v>
      </c>
      <c r="F231" s="249">
        <v>3432</v>
      </c>
      <c r="G231" s="249">
        <v>3582</v>
      </c>
      <c r="H231" s="437">
        <f t="shared" si="123"/>
        <v>4.3706293706293708</v>
      </c>
      <c r="I231" s="249"/>
      <c r="J231" s="249"/>
      <c r="K231" s="437">
        <f t="shared" si="124"/>
        <v>0</v>
      </c>
      <c r="L231" s="249"/>
      <c r="M231" s="249"/>
      <c r="N231" s="250">
        <f t="shared" si="125"/>
        <v>0</v>
      </c>
      <c r="O231" s="249"/>
      <c r="P231" s="249"/>
      <c r="Q231" s="250">
        <f t="shared" si="108"/>
        <v>0</v>
      </c>
      <c r="R231" s="249"/>
      <c r="S231" s="249"/>
      <c r="T231" s="250">
        <f t="shared" si="109"/>
        <v>0</v>
      </c>
      <c r="U231" s="249"/>
      <c r="V231" s="249"/>
      <c r="W231" s="250">
        <f t="shared" si="110"/>
        <v>0</v>
      </c>
      <c r="X231" s="249"/>
      <c r="Y231" s="249"/>
      <c r="Z231" s="250">
        <f t="shared" si="111"/>
        <v>0</v>
      </c>
      <c r="AA231" s="249"/>
      <c r="AB231" s="249"/>
      <c r="AC231" s="250">
        <f t="shared" si="112"/>
        <v>0</v>
      </c>
      <c r="AD231" s="249"/>
      <c r="AE231" s="249"/>
      <c r="AF231" s="250">
        <f t="shared" si="113"/>
        <v>0</v>
      </c>
      <c r="AG231" s="249"/>
      <c r="AH231" s="249"/>
      <c r="AI231" s="250">
        <f t="shared" si="114"/>
        <v>0</v>
      </c>
      <c r="AJ231" s="249"/>
      <c r="AK231" s="249"/>
      <c r="AL231" s="250">
        <f t="shared" si="115"/>
        <v>0</v>
      </c>
      <c r="AM231" s="249"/>
      <c r="AN231" s="249"/>
      <c r="AO231" s="250">
        <f t="shared" si="116"/>
        <v>0</v>
      </c>
      <c r="AP231" s="249"/>
      <c r="AQ231" s="249"/>
      <c r="AR231" s="250">
        <f t="shared" si="117"/>
        <v>0</v>
      </c>
      <c r="AS231" s="249"/>
      <c r="AT231" s="249"/>
      <c r="AU231" s="250">
        <f t="shared" si="118"/>
        <v>0</v>
      </c>
      <c r="AV231" s="249"/>
      <c r="AW231" s="249"/>
      <c r="AX231" s="250">
        <f t="shared" si="119"/>
        <v>0</v>
      </c>
      <c r="AY231" s="249"/>
      <c r="AZ231" s="249"/>
      <c r="BA231" s="250">
        <f t="shared" si="120"/>
        <v>0</v>
      </c>
      <c r="BB231" s="249"/>
      <c r="BC231" s="249"/>
      <c r="BD231" s="250">
        <f t="shared" si="121"/>
        <v>0</v>
      </c>
    </row>
    <row r="232" spans="1:56">
      <c r="A232" s="251"/>
      <c r="B232" s="259" t="s">
        <v>391</v>
      </c>
      <c r="C232" s="249">
        <v>1832</v>
      </c>
      <c r="D232" s="249">
        <v>1859</v>
      </c>
      <c r="E232" s="508">
        <f t="shared" si="122"/>
        <v>1.4737991266375545</v>
      </c>
      <c r="F232" s="249">
        <v>3470</v>
      </c>
      <c r="G232" s="249">
        <v>3654</v>
      </c>
      <c r="H232" s="437">
        <f t="shared" si="123"/>
        <v>5.3025936599423629</v>
      </c>
      <c r="I232" s="249"/>
      <c r="J232" s="249"/>
      <c r="K232" s="437">
        <f t="shared" si="124"/>
        <v>0</v>
      </c>
      <c r="L232" s="249"/>
      <c r="M232" s="249"/>
      <c r="N232" s="250">
        <f t="shared" si="125"/>
        <v>0</v>
      </c>
      <c r="O232" s="249"/>
      <c r="P232" s="249"/>
      <c r="Q232" s="250">
        <f t="shared" si="108"/>
        <v>0</v>
      </c>
      <c r="R232" s="249"/>
      <c r="S232" s="249"/>
      <c r="T232" s="250">
        <f t="shared" si="109"/>
        <v>0</v>
      </c>
      <c r="U232" s="249"/>
      <c r="V232" s="249"/>
      <c r="W232" s="250">
        <f t="shared" si="110"/>
        <v>0</v>
      </c>
      <c r="X232" s="249"/>
      <c r="Y232" s="249"/>
      <c r="Z232" s="250">
        <f t="shared" si="111"/>
        <v>0</v>
      </c>
      <c r="AA232" s="249"/>
      <c r="AB232" s="249"/>
      <c r="AC232" s="250">
        <f t="shared" si="112"/>
        <v>0</v>
      </c>
      <c r="AD232" s="249"/>
      <c r="AE232" s="249"/>
      <c r="AF232" s="250">
        <f t="shared" si="113"/>
        <v>0</v>
      </c>
      <c r="AG232" s="249"/>
      <c r="AH232" s="249"/>
      <c r="AI232" s="250">
        <f t="shared" si="114"/>
        <v>0</v>
      </c>
      <c r="AJ232" s="249"/>
      <c r="AK232" s="249"/>
      <c r="AL232" s="250">
        <f t="shared" si="115"/>
        <v>0</v>
      </c>
      <c r="AM232" s="249"/>
      <c r="AN232" s="249"/>
      <c r="AO232" s="250">
        <f t="shared" si="116"/>
        <v>0</v>
      </c>
      <c r="AP232" s="249"/>
      <c r="AQ232" s="249"/>
      <c r="AR232" s="250">
        <f t="shared" si="117"/>
        <v>0</v>
      </c>
      <c r="AS232" s="249"/>
      <c r="AT232" s="249"/>
      <c r="AU232" s="250">
        <f t="shared" si="118"/>
        <v>0</v>
      </c>
      <c r="AV232" s="249"/>
      <c r="AW232" s="249"/>
      <c r="AX232" s="250">
        <f t="shared" si="119"/>
        <v>0</v>
      </c>
      <c r="AY232" s="249"/>
      <c r="AZ232" s="249"/>
      <c r="BA232" s="250">
        <f t="shared" si="120"/>
        <v>0</v>
      </c>
      <c r="BB232" s="249"/>
      <c r="BC232" s="249"/>
      <c r="BD232" s="250">
        <f t="shared" si="121"/>
        <v>0</v>
      </c>
    </row>
    <row r="233" spans="1:56">
      <c r="A233" s="251"/>
      <c r="B233" s="259" t="s">
        <v>392</v>
      </c>
      <c r="C233" s="249">
        <v>1664</v>
      </c>
      <c r="D233" s="249">
        <v>1806</v>
      </c>
      <c r="E233" s="508">
        <f t="shared" si="122"/>
        <v>8.5336538461538467</v>
      </c>
      <c r="F233" s="249">
        <v>3450</v>
      </c>
      <c r="G233" s="249">
        <v>3630</v>
      </c>
      <c r="H233" s="437">
        <f t="shared" si="123"/>
        <v>5.2173913043478262</v>
      </c>
      <c r="I233" s="249"/>
      <c r="J233" s="249"/>
      <c r="K233" s="437">
        <f t="shared" si="124"/>
        <v>0</v>
      </c>
      <c r="L233" s="249"/>
      <c r="M233" s="249"/>
      <c r="N233" s="250">
        <f t="shared" si="125"/>
        <v>0</v>
      </c>
      <c r="O233" s="249"/>
      <c r="P233" s="249"/>
      <c r="Q233" s="250">
        <f t="shared" si="108"/>
        <v>0</v>
      </c>
      <c r="R233" s="249"/>
      <c r="S233" s="249"/>
      <c r="T233" s="250">
        <f t="shared" si="109"/>
        <v>0</v>
      </c>
      <c r="U233" s="249"/>
      <c r="V233" s="249"/>
      <c r="W233" s="250">
        <f t="shared" si="110"/>
        <v>0</v>
      </c>
      <c r="X233" s="249"/>
      <c r="Y233" s="249"/>
      <c r="Z233" s="250">
        <f t="shared" si="111"/>
        <v>0</v>
      </c>
      <c r="AA233" s="249"/>
      <c r="AB233" s="249"/>
      <c r="AC233" s="250">
        <f t="shared" si="112"/>
        <v>0</v>
      </c>
      <c r="AD233" s="249"/>
      <c r="AE233" s="249"/>
      <c r="AF233" s="250">
        <f t="shared" si="113"/>
        <v>0</v>
      </c>
      <c r="AG233" s="249"/>
      <c r="AH233" s="249"/>
      <c r="AI233" s="250">
        <f t="shared" si="114"/>
        <v>0</v>
      </c>
      <c r="AJ233" s="249"/>
      <c r="AK233" s="249"/>
      <c r="AL233" s="250">
        <f t="shared" si="115"/>
        <v>0</v>
      </c>
      <c r="AM233" s="249"/>
      <c r="AN233" s="249"/>
      <c r="AO233" s="250">
        <f t="shared" si="116"/>
        <v>0</v>
      </c>
      <c r="AP233" s="249"/>
      <c r="AQ233" s="249"/>
      <c r="AR233" s="250">
        <f t="shared" si="117"/>
        <v>0</v>
      </c>
      <c r="AS233" s="249"/>
      <c r="AT233" s="249"/>
      <c r="AU233" s="250">
        <f t="shared" si="118"/>
        <v>0</v>
      </c>
      <c r="AV233" s="249"/>
      <c r="AW233" s="249"/>
      <c r="AX233" s="250">
        <f t="shared" si="119"/>
        <v>0</v>
      </c>
      <c r="AY233" s="249"/>
      <c r="AZ233" s="249"/>
      <c r="BA233" s="250">
        <f t="shared" si="120"/>
        <v>0</v>
      </c>
      <c r="BB233" s="249"/>
      <c r="BC233" s="249"/>
      <c r="BD233" s="250">
        <f t="shared" si="121"/>
        <v>0</v>
      </c>
    </row>
    <row r="234" spans="1:56">
      <c r="A234" s="251"/>
      <c r="B234" s="259" t="s">
        <v>196</v>
      </c>
      <c r="C234" s="249">
        <v>2112</v>
      </c>
      <c r="D234" s="249">
        <v>2140</v>
      </c>
      <c r="E234" s="508">
        <f t="shared" si="122"/>
        <v>1.3257575757575757</v>
      </c>
      <c r="F234" s="249">
        <v>3480</v>
      </c>
      <c r="G234" s="249">
        <v>3510</v>
      </c>
      <c r="H234" s="437">
        <f t="shared" si="123"/>
        <v>0.86206896551724133</v>
      </c>
      <c r="I234" s="249"/>
      <c r="J234" s="249"/>
      <c r="K234" s="437">
        <f t="shared" si="124"/>
        <v>0</v>
      </c>
      <c r="L234" s="249"/>
      <c r="M234" s="249"/>
      <c r="N234" s="250">
        <f t="shared" si="125"/>
        <v>0</v>
      </c>
      <c r="O234" s="249"/>
      <c r="P234" s="249"/>
      <c r="Q234" s="250">
        <f t="shared" si="108"/>
        <v>0</v>
      </c>
      <c r="R234" s="249"/>
      <c r="S234" s="249"/>
      <c r="T234" s="250">
        <f t="shared" si="109"/>
        <v>0</v>
      </c>
      <c r="U234" s="249"/>
      <c r="V234" s="249"/>
      <c r="W234" s="250">
        <f t="shared" si="110"/>
        <v>0</v>
      </c>
      <c r="X234" s="249"/>
      <c r="Y234" s="249"/>
      <c r="Z234" s="250">
        <f t="shared" si="111"/>
        <v>0</v>
      </c>
      <c r="AA234" s="249"/>
      <c r="AB234" s="249"/>
      <c r="AC234" s="250">
        <f t="shared" si="112"/>
        <v>0</v>
      </c>
      <c r="AD234" s="249"/>
      <c r="AE234" s="249"/>
      <c r="AF234" s="250">
        <f t="shared" si="113"/>
        <v>0</v>
      </c>
      <c r="AG234" s="249"/>
      <c r="AH234" s="249"/>
      <c r="AI234" s="250">
        <f t="shared" si="114"/>
        <v>0</v>
      </c>
      <c r="AJ234" s="249"/>
      <c r="AK234" s="249"/>
      <c r="AL234" s="250">
        <f t="shared" si="115"/>
        <v>0</v>
      </c>
      <c r="AM234" s="249"/>
      <c r="AN234" s="249"/>
      <c r="AO234" s="250">
        <f t="shared" si="116"/>
        <v>0</v>
      </c>
      <c r="AP234" s="249"/>
      <c r="AQ234" s="249"/>
      <c r="AR234" s="250">
        <f t="shared" si="117"/>
        <v>0</v>
      </c>
      <c r="AS234" s="249"/>
      <c r="AT234" s="249"/>
      <c r="AU234" s="250">
        <f t="shared" si="118"/>
        <v>0</v>
      </c>
      <c r="AV234" s="249"/>
      <c r="AW234" s="249"/>
      <c r="AX234" s="250">
        <f t="shared" si="119"/>
        <v>0</v>
      </c>
      <c r="AY234" s="249"/>
      <c r="AZ234" s="249"/>
      <c r="BA234" s="250">
        <f t="shared" si="120"/>
        <v>0</v>
      </c>
      <c r="BB234" s="249"/>
      <c r="BC234" s="249"/>
      <c r="BD234" s="250">
        <f t="shared" si="121"/>
        <v>0</v>
      </c>
    </row>
    <row r="235" spans="1:56" s="255" customFormat="1" ht="20.25" customHeight="1">
      <c r="A235" s="252"/>
      <c r="B235" s="431" t="s">
        <v>550</v>
      </c>
      <c r="C235" s="425">
        <v>1827</v>
      </c>
      <c r="D235" s="425">
        <v>1859</v>
      </c>
      <c r="E235" s="509">
        <f t="shared" si="122"/>
        <v>1.751505199781062</v>
      </c>
      <c r="F235" s="425">
        <v>3450</v>
      </c>
      <c r="G235" s="425">
        <v>3630</v>
      </c>
      <c r="H235" s="438">
        <f t="shared" si="123"/>
        <v>5.2173913043478262</v>
      </c>
      <c r="I235" s="425"/>
      <c r="J235" s="425"/>
      <c r="K235" s="438">
        <f t="shared" si="124"/>
        <v>0</v>
      </c>
      <c r="L235" s="425"/>
      <c r="M235" s="425"/>
      <c r="N235" s="421">
        <f t="shared" si="125"/>
        <v>0</v>
      </c>
      <c r="O235" s="425"/>
      <c r="P235" s="425"/>
      <c r="Q235" s="421">
        <f t="shared" si="108"/>
        <v>0</v>
      </c>
      <c r="R235" s="425"/>
      <c r="S235" s="425"/>
      <c r="T235" s="421">
        <f t="shared" si="109"/>
        <v>0</v>
      </c>
      <c r="U235" s="425"/>
      <c r="V235" s="425"/>
      <c r="W235" s="421">
        <f t="shared" si="110"/>
        <v>0</v>
      </c>
      <c r="X235" s="425"/>
      <c r="Y235" s="425"/>
      <c r="Z235" s="421">
        <f t="shared" si="111"/>
        <v>0</v>
      </c>
      <c r="AA235" s="425"/>
      <c r="AB235" s="425"/>
      <c r="AC235" s="421">
        <f t="shared" si="112"/>
        <v>0</v>
      </c>
      <c r="AD235" s="425"/>
      <c r="AE235" s="425"/>
      <c r="AF235" s="421">
        <f t="shared" si="113"/>
        <v>0</v>
      </c>
      <c r="AG235" s="425"/>
      <c r="AH235" s="425"/>
      <c r="AI235" s="421">
        <f t="shared" si="114"/>
        <v>0</v>
      </c>
      <c r="AJ235" s="425"/>
      <c r="AK235" s="425"/>
      <c r="AL235" s="421">
        <f t="shared" si="115"/>
        <v>0</v>
      </c>
      <c r="AM235" s="425"/>
      <c r="AN235" s="425"/>
      <c r="AO235" s="421">
        <f t="shared" si="116"/>
        <v>0</v>
      </c>
      <c r="AP235" s="425"/>
      <c r="AQ235" s="425"/>
      <c r="AR235" s="421">
        <f t="shared" si="117"/>
        <v>0</v>
      </c>
      <c r="AS235" s="425"/>
      <c r="AT235" s="425"/>
      <c r="AU235" s="421">
        <f t="shared" si="118"/>
        <v>0</v>
      </c>
      <c r="AV235" s="425"/>
      <c r="AW235" s="425"/>
      <c r="AX235" s="421">
        <f t="shared" si="119"/>
        <v>0</v>
      </c>
      <c r="AY235" s="425"/>
      <c r="AZ235" s="425"/>
      <c r="BA235" s="421">
        <f t="shared" si="120"/>
        <v>0</v>
      </c>
      <c r="BB235" s="425"/>
      <c r="BC235" s="425"/>
      <c r="BD235" s="421">
        <f t="shared" si="121"/>
        <v>0</v>
      </c>
    </row>
    <row r="236" spans="1:56">
      <c r="A236" s="251"/>
      <c r="B236" s="259" t="s">
        <v>197</v>
      </c>
      <c r="C236" s="249"/>
      <c r="D236" s="249"/>
      <c r="E236" s="508">
        <f t="shared" si="122"/>
        <v>0</v>
      </c>
      <c r="F236" s="249"/>
      <c r="G236" s="249"/>
      <c r="H236" s="437">
        <f t="shared" si="123"/>
        <v>0</v>
      </c>
      <c r="I236" s="249"/>
      <c r="J236" s="249"/>
      <c r="K236" s="437">
        <f t="shared" si="124"/>
        <v>0</v>
      </c>
      <c r="L236" s="249"/>
      <c r="M236" s="249"/>
      <c r="N236" s="250">
        <f t="shared" si="125"/>
        <v>0</v>
      </c>
      <c r="O236" s="249"/>
      <c r="P236" s="249"/>
      <c r="Q236" s="250">
        <f t="shared" si="108"/>
        <v>0</v>
      </c>
      <c r="R236" s="249"/>
      <c r="S236" s="249"/>
      <c r="T236" s="250">
        <f t="shared" si="109"/>
        <v>0</v>
      </c>
      <c r="U236" s="249"/>
      <c r="V236" s="249"/>
      <c r="W236" s="250">
        <f t="shared" si="110"/>
        <v>0</v>
      </c>
      <c r="X236" s="249"/>
      <c r="Y236" s="249"/>
      <c r="Z236" s="250">
        <f t="shared" si="111"/>
        <v>0</v>
      </c>
      <c r="AA236" s="249"/>
      <c r="AB236" s="249"/>
      <c r="AC236" s="250">
        <f t="shared" si="112"/>
        <v>0</v>
      </c>
      <c r="AD236" s="249"/>
      <c r="AE236" s="249"/>
      <c r="AF236" s="250">
        <f t="shared" si="113"/>
        <v>0</v>
      </c>
      <c r="AG236" s="249"/>
      <c r="AH236" s="249"/>
      <c r="AI236" s="250">
        <f t="shared" si="114"/>
        <v>0</v>
      </c>
      <c r="AJ236" s="249"/>
      <c r="AK236" s="249"/>
      <c r="AL236" s="250">
        <f t="shared" si="115"/>
        <v>0</v>
      </c>
      <c r="AM236" s="249"/>
      <c r="AN236" s="249"/>
      <c r="AO236" s="250">
        <f t="shared" si="116"/>
        <v>0</v>
      </c>
      <c r="AP236" s="249"/>
      <c r="AQ236" s="249"/>
      <c r="AR236" s="250">
        <f t="shared" si="117"/>
        <v>0</v>
      </c>
      <c r="AS236" s="249"/>
      <c r="AT236" s="249"/>
      <c r="AU236" s="250">
        <f t="shared" si="118"/>
        <v>0</v>
      </c>
      <c r="AV236" s="249"/>
      <c r="AW236" s="249"/>
      <c r="AX236" s="250">
        <f t="shared" si="119"/>
        <v>0</v>
      </c>
      <c r="AY236" s="249"/>
      <c r="AZ236" s="249"/>
      <c r="BA236" s="250">
        <f t="shared" si="120"/>
        <v>0</v>
      </c>
      <c r="BB236" s="249"/>
      <c r="BC236" s="249"/>
      <c r="BD236" s="250">
        <f t="shared" si="121"/>
        <v>0</v>
      </c>
    </row>
    <row r="237" spans="1:56">
      <c r="A237" s="251"/>
      <c r="B237" s="259" t="s">
        <v>326</v>
      </c>
      <c r="C237" s="249"/>
      <c r="D237" s="249"/>
      <c r="E237" s="508">
        <f t="shared" si="122"/>
        <v>0</v>
      </c>
      <c r="F237" s="249"/>
      <c r="G237" s="249"/>
      <c r="H237" s="437">
        <f t="shared" si="123"/>
        <v>0</v>
      </c>
      <c r="I237" s="249"/>
      <c r="J237" s="249"/>
      <c r="K237" s="437">
        <f t="shared" si="124"/>
        <v>0</v>
      </c>
      <c r="L237" s="249"/>
      <c r="M237" s="249"/>
      <c r="N237" s="250">
        <f t="shared" si="125"/>
        <v>0</v>
      </c>
      <c r="O237" s="249"/>
      <c r="P237" s="249"/>
      <c r="Q237" s="250">
        <f t="shared" si="108"/>
        <v>0</v>
      </c>
      <c r="R237" s="249"/>
      <c r="S237" s="249"/>
      <c r="T237" s="250">
        <f t="shared" si="109"/>
        <v>0</v>
      </c>
      <c r="U237" s="249"/>
      <c r="V237" s="249"/>
      <c r="W237" s="250">
        <f t="shared" si="110"/>
        <v>0</v>
      </c>
      <c r="X237" s="249"/>
      <c r="Y237" s="249"/>
      <c r="Z237" s="250">
        <f t="shared" si="111"/>
        <v>0</v>
      </c>
      <c r="AA237" s="249"/>
      <c r="AB237" s="249"/>
      <c r="AC237" s="250">
        <f t="shared" si="112"/>
        <v>0</v>
      </c>
      <c r="AD237" s="249"/>
      <c r="AE237" s="249"/>
      <c r="AF237" s="250">
        <f t="shared" si="113"/>
        <v>0</v>
      </c>
      <c r="AG237" s="249"/>
      <c r="AH237" s="249"/>
      <c r="AI237" s="250">
        <f t="shared" si="114"/>
        <v>0</v>
      </c>
      <c r="AJ237" s="249"/>
      <c r="AK237" s="249"/>
      <c r="AL237" s="250">
        <f t="shared" si="115"/>
        <v>0</v>
      </c>
      <c r="AM237" s="249"/>
      <c r="AN237" s="249"/>
      <c r="AO237" s="250">
        <f t="shared" si="116"/>
        <v>0</v>
      </c>
      <c r="AP237" s="249"/>
      <c r="AQ237" s="249"/>
      <c r="AR237" s="250">
        <f t="shared" si="117"/>
        <v>0</v>
      </c>
      <c r="AS237" s="249"/>
      <c r="AT237" s="249"/>
      <c r="AU237" s="250">
        <f t="shared" si="118"/>
        <v>0</v>
      </c>
      <c r="AV237" s="249"/>
      <c r="AW237" s="249"/>
      <c r="AX237" s="250">
        <f t="shared" si="119"/>
        <v>0</v>
      </c>
      <c r="AY237" s="249"/>
      <c r="AZ237" s="249"/>
      <c r="BA237" s="250">
        <f t="shared" si="120"/>
        <v>0</v>
      </c>
      <c r="BB237" s="249"/>
      <c r="BC237" s="249"/>
      <c r="BD237" s="250">
        <f t="shared" si="121"/>
        <v>0</v>
      </c>
    </row>
    <row r="238" spans="1:56">
      <c r="A238" s="251"/>
      <c r="B238" s="259" t="s">
        <v>327</v>
      </c>
      <c r="C238" s="249"/>
      <c r="D238" s="249"/>
      <c r="E238" s="508"/>
      <c r="F238" s="249"/>
      <c r="G238" s="249"/>
      <c r="H238" s="437">
        <f t="shared" si="123"/>
        <v>0</v>
      </c>
      <c r="I238" s="249"/>
      <c r="J238" s="249"/>
      <c r="K238" s="437">
        <f t="shared" si="124"/>
        <v>0</v>
      </c>
      <c r="L238" s="249"/>
      <c r="M238" s="249"/>
      <c r="N238" s="250">
        <f t="shared" si="125"/>
        <v>0</v>
      </c>
      <c r="O238" s="249"/>
      <c r="P238" s="249"/>
      <c r="Q238" s="250">
        <f t="shared" si="108"/>
        <v>0</v>
      </c>
      <c r="R238" s="249"/>
      <c r="S238" s="249"/>
      <c r="T238" s="250">
        <f t="shared" si="109"/>
        <v>0</v>
      </c>
      <c r="U238" s="249"/>
      <c r="V238" s="249"/>
      <c r="W238" s="250">
        <f t="shared" si="110"/>
        <v>0</v>
      </c>
      <c r="X238" s="249"/>
      <c r="Y238" s="249"/>
      <c r="Z238" s="250">
        <f t="shared" si="111"/>
        <v>0</v>
      </c>
      <c r="AA238" s="249"/>
      <c r="AB238" s="249"/>
      <c r="AC238" s="250">
        <f t="shared" si="112"/>
        <v>0</v>
      </c>
      <c r="AD238" s="249"/>
      <c r="AE238" s="249"/>
      <c r="AF238" s="250">
        <f t="shared" si="113"/>
        <v>0</v>
      </c>
      <c r="AG238" s="249"/>
      <c r="AH238" s="249"/>
      <c r="AI238" s="250">
        <f t="shared" si="114"/>
        <v>0</v>
      </c>
      <c r="AJ238" s="249"/>
      <c r="AK238" s="249"/>
      <c r="AL238" s="250">
        <f t="shared" si="115"/>
        <v>0</v>
      </c>
      <c r="AM238" s="249"/>
      <c r="AN238" s="249"/>
      <c r="AO238" s="250">
        <f t="shared" si="116"/>
        <v>0</v>
      </c>
      <c r="AP238" s="249"/>
      <c r="AQ238" s="249"/>
      <c r="AR238" s="250">
        <f t="shared" si="117"/>
        <v>0</v>
      </c>
      <c r="AS238" s="249"/>
      <c r="AT238" s="249"/>
      <c r="AU238" s="250">
        <f t="shared" si="118"/>
        <v>0</v>
      </c>
      <c r="AV238" s="249"/>
      <c r="AW238" s="249"/>
      <c r="AX238" s="250">
        <f t="shared" si="119"/>
        <v>0</v>
      </c>
      <c r="AY238" s="249"/>
      <c r="AZ238" s="249"/>
      <c r="BA238" s="250">
        <f t="shared" si="120"/>
        <v>0</v>
      </c>
      <c r="BB238" s="249"/>
      <c r="BC238" s="249"/>
      <c r="BD238" s="250">
        <f t="shared" si="121"/>
        <v>0</v>
      </c>
    </row>
    <row r="239" spans="1:56" s="255" customFormat="1" ht="21.75" customHeight="1">
      <c r="A239" s="252"/>
      <c r="B239" s="427" t="s">
        <v>315</v>
      </c>
      <c r="C239" s="253"/>
      <c r="D239" s="253"/>
      <c r="E239" s="511">
        <f>IF(C239&gt;0,(((D239-C239)/C239)*100),0)</f>
        <v>0</v>
      </c>
      <c r="F239" s="253"/>
      <c r="G239" s="253"/>
      <c r="H239" s="440">
        <f t="shared" si="123"/>
        <v>0</v>
      </c>
      <c r="I239" s="253"/>
      <c r="J239" s="253"/>
      <c r="K239" s="440">
        <f t="shared" si="124"/>
        <v>0</v>
      </c>
      <c r="L239" s="253"/>
      <c r="M239" s="253"/>
      <c r="N239" s="254">
        <f t="shared" si="125"/>
        <v>0</v>
      </c>
      <c r="O239" s="253"/>
      <c r="P239" s="253"/>
      <c r="Q239" s="254">
        <f t="shared" si="108"/>
        <v>0</v>
      </c>
      <c r="R239" s="253"/>
      <c r="S239" s="253"/>
      <c r="T239" s="254">
        <f t="shared" si="109"/>
        <v>0</v>
      </c>
      <c r="U239" s="253"/>
      <c r="V239" s="253"/>
      <c r="W239" s="254">
        <f t="shared" si="110"/>
        <v>0</v>
      </c>
      <c r="X239" s="253"/>
      <c r="Y239" s="253"/>
      <c r="Z239" s="254">
        <f t="shared" si="111"/>
        <v>0</v>
      </c>
      <c r="AA239" s="253"/>
      <c r="AB239" s="253"/>
      <c r="AC239" s="254">
        <f t="shared" si="112"/>
        <v>0</v>
      </c>
      <c r="AD239" s="253"/>
      <c r="AE239" s="253"/>
      <c r="AF239" s="254">
        <f t="shared" si="113"/>
        <v>0</v>
      </c>
      <c r="AG239" s="253"/>
      <c r="AH239" s="253"/>
      <c r="AI239" s="254">
        <f t="shared" si="114"/>
        <v>0</v>
      </c>
      <c r="AJ239" s="253"/>
      <c r="AK239" s="253"/>
      <c r="AL239" s="254">
        <f t="shared" si="115"/>
        <v>0</v>
      </c>
      <c r="AM239" s="253"/>
      <c r="AN239" s="253"/>
      <c r="AO239" s="254">
        <f t="shared" si="116"/>
        <v>0</v>
      </c>
      <c r="AP239" s="253"/>
      <c r="AQ239" s="253"/>
      <c r="AR239" s="254">
        <f t="shared" si="117"/>
        <v>0</v>
      </c>
      <c r="AS239" s="253"/>
      <c r="AT239" s="253"/>
      <c r="AU239" s="254">
        <f t="shared" si="118"/>
        <v>0</v>
      </c>
      <c r="AV239" s="253"/>
      <c r="AW239" s="253"/>
      <c r="AX239" s="254">
        <f t="shared" si="119"/>
        <v>0</v>
      </c>
      <c r="AY239" s="253"/>
      <c r="AZ239" s="253"/>
      <c r="BA239" s="254">
        <f t="shared" si="120"/>
        <v>0</v>
      </c>
      <c r="BB239" s="253"/>
      <c r="BC239" s="253"/>
      <c r="BD239" s="254">
        <f t="shared" si="121"/>
        <v>0</v>
      </c>
    </row>
    <row r="240" spans="1:56">
      <c r="A240" s="256"/>
      <c r="B240" s="428" t="s">
        <v>198</v>
      </c>
      <c r="C240" s="257"/>
      <c r="D240" s="257"/>
      <c r="E240" s="510"/>
      <c r="F240" s="257"/>
      <c r="G240" s="257"/>
      <c r="H240" s="439"/>
      <c r="I240" s="257"/>
      <c r="J240" s="257"/>
      <c r="K240" s="439"/>
      <c r="L240" s="257"/>
      <c r="M240" s="257"/>
      <c r="N240" s="258"/>
      <c r="O240" s="257">
        <v>12567</v>
      </c>
      <c r="P240" s="257">
        <v>13810</v>
      </c>
      <c r="Q240" s="258">
        <f t="shared" si="108"/>
        <v>9.8909843240232362</v>
      </c>
      <c r="R240" s="257">
        <v>18080</v>
      </c>
      <c r="S240" s="257">
        <v>19730</v>
      </c>
      <c r="T240" s="258">
        <f t="shared" si="109"/>
        <v>9.1261061946902657</v>
      </c>
      <c r="U240" s="257">
        <v>13353</v>
      </c>
      <c r="V240" s="257">
        <v>13461</v>
      </c>
      <c r="W240" s="258">
        <f t="shared" si="110"/>
        <v>0.80880700966075048</v>
      </c>
      <c r="X240" s="257">
        <v>26453</v>
      </c>
      <c r="Y240" s="257">
        <v>26561</v>
      </c>
      <c r="Z240" s="258">
        <f t="shared" si="111"/>
        <v>0.40827127357955623</v>
      </c>
      <c r="AA240" s="257">
        <v>13110</v>
      </c>
      <c r="AB240" s="257">
        <v>15325</v>
      </c>
      <c r="AC240" s="258">
        <f t="shared" si="112"/>
        <v>16.895499618611748</v>
      </c>
      <c r="AD240" s="257">
        <v>23910</v>
      </c>
      <c r="AE240" s="257">
        <v>26125</v>
      </c>
      <c r="AF240" s="258">
        <f t="shared" si="113"/>
        <v>9.2639063153492263</v>
      </c>
      <c r="AG240" s="257">
        <v>9900.0999999999985</v>
      </c>
      <c r="AH240" s="257">
        <v>10572.5</v>
      </c>
      <c r="AI240" s="258">
        <f t="shared" si="114"/>
        <v>6.7918505873678203</v>
      </c>
      <c r="AJ240" s="257">
        <v>17127</v>
      </c>
      <c r="AK240" s="257">
        <v>18440.5</v>
      </c>
      <c r="AL240" s="258">
        <f t="shared" si="115"/>
        <v>7.6691773223565125</v>
      </c>
      <c r="AM240" s="257">
        <v>18680</v>
      </c>
      <c r="AN240" s="257">
        <v>19019</v>
      </c>
      <c r="AO240" s="258">
        <f t="shared" si="116"/>
        <v>1.8147751605995719</v>
      </c>
      <c r="AP240" s="257">
        <v>29920</v>
      </c>
      <c r="AQ240" s="257">
        <v>29822</v>
      </c>
      <c r="AR240" s="258">
        <f t="shared" si="117"/>
        <v>-0.32754010695187163</v>
      </c>
      <c r="AS240" s="257">
        <v>14877</v>
      </c>
      <c r="AT240" s="257">
        <v>14877</v>
      </c>
      <c r="AU240" s="258">
        <f t="shared" si="118"/>
        <v>0</v>
      </c>
      <c r="AV240" s="257">
        <v>30627</v>
      </c>
      <c r="AW240" s="257">
        <v>30627</v>
      </c>
      <c r="AX240" s="258">
        <f t="shared" si="119"/>
        <v>0</v>
      </c>
      <c r="AY240" s="257">
        <v>14026</v>
      </c>
      <c r="AZ240" s="257">
        <v>14659</v>
      </c>
      <c r="BA240" s="258">
        <f t="shared" si="120"/>
        <v>4.5130471980607441</v>
      </c>
      <c r="BB240" s="257">
        <v>24826</v>
      </c>
      <c r="BC240" s="257">
        <v>25459</v>
      </c>
      <c r="BD240" s="258">
        <f t="shared" si="121"/>
        <v>2.5497462337871588</v>
      </c>
    </row>
    <row r="241" spans="1:56">
      <c r="A241" s="247" t="s">
        <v>644</v>
      </c>
      <c r="B241" s="259" t="s">
        <v>384</v>
      </c>
      <c r="C241" s="249">
        <v>7855</v>
      </c>
      <c r="D241" s="249">
        <v>8314.5</v>
      </c>
      <c r="E241" s="508">
        <f t="shared" ref="E241:E254" si="126">IF(C241&gt;0,(((D241-C241)/C241)*100),0)</f>
        <v>5.8497772119669005</v>
      </c>
      <c r="F241" s="249">
        <v>21648</v>
      </c>
      <c r="G241" s="249">
        <v>23120</v>
      </c>
      <c r="H241" s="437">
        <f t="shared" ref="H241:H256" si="127">IF(F241&gt;0,(((G241-F241)/F241)*100),0)</f>
        <v>6.7997043606799696</v>
      </c>
      <c r="I241" s="249">
        <v>9735</v>
      </c>
      <c r="J241" s="249">
        <v>10228</v>
      </c>
      <c r="K241" s="437">
        <f t="shared" ref="K241:K256" si="128">IF(I241&gt;0,(((J241-I241)/I241)*100),0)</f>
        <v>5.0642013353877759</v>
      </c>
      <c r="L241" s="249">
        <v>22140</v>
      </c>
      <c r="M241" s="249">
        <v>22628</v>
      </c>
      <c r="N241" s="250">
        <f t="shared" ref="N241:N256" si="129">IF(L241&gt;0,(((M241-L241)/L241)*100),0)</f>
        <v>2.2041553748870824</v>
      </c>
      <c r="O241" s="249"/>
      <c r="P241" s="249"/>
      <c r="Q241" s="250">
        <f t="shared" si="108"/>
        <v>0</v>
      </c>
      <c r="R241" s="249"/>
      <c r="S241" s="249"/>
      <c r="T241" s="250">
        <f t="shared" si="109"/>
        <v>0</v>
      </c>
      <c r="U241" s="249"/>
      <c r="V241" s="249"/>
      <c r="W241" s="250">
        <f t="shared" si="110"/>
        <v>0</v>
      </c>
      <c r="X241" s="249"/>
      <c r="Y241" s="249"/>
      <c r="Z241" s="250">
        <f t="shared" si="111"/>
        <v>0</v>
      </c>
      <c r="AA241" s="249"/>
      <c r="AB241" s="249"/>
      <c r="AC241" s="250">
        <f t="shared" si="112"/>
        <v>0</v>
      </c>
      <c r="AD241" s="249"/>
      <c r="AE241" s="249"/>
      <c r="AF241" s="250">
        <f t="shared" si="113"/>
        <v>0</v>
      </c>
      <c r="AG241" s="249"/>
      <c r="AH241" s="249"/>
      <c r="AI241" s="250">
        <f t="shared" si="114"/>
        <v>0</v>
      </c>
      <c r="AJ241" s="249"/>
      <c r="AK241" s="249"/>
      <c r="AL241" s="250">
        <f t="shared" si="115"/>
        <v>0</v>
      </c>
      <c r="AM241" s="249"/>
      <c r="AN241" s="249"/>
      <c r="AO241" s="250">
        <f t="shared" si="116"/>
        <v>0</v>
      </c>
      <c r="AP241" s="249"/>
      <c r="AQ241" s="249"/>
      <c r="AR241" s="250">
        <f t="shared" si="117"/>
        <v>0</v>
      </c>
      <c r="AS241" s="249"/>
      <c r="AT241" s="249"/>
      <c r="AU241" s="250">
        <f t="shared" si="118"/>
        <v>0</v>
      </c>
      <c r="AV241" s="249"/>
      <c r="AW241" s="249"/>
      <c r="AX241" s="250">
        <f t="shared" si="119"/>
        <v>0</v>
      </c>
      <c r="AY241" s="249"/>
      <c r="AZ241" s="249"/>
      <c r="BA241" s="250">
        <f t="shared" si="120"/>
        <v>0</v>
      </c>
      <c r="BB241" s="249"/>
      <c r="BC241" s="249"/>
      <c r="BD241" s="250">
        <f t="shared" si="121"/>
        <v>0</v>
      </c>
    </row>
    <row r="242" spans="1:56">
      <c r="A242" s="251"/>
      <c r="B242" s="259" t="s">
        <v>385</v>
      </c>
      <c r="C242" s="249">
        <v>6918</v>
      </c>
      <c r="D242" s="249">
        <v>7318</v>
      </c>
      <c r="E242" s="508">
        <f t="shared" si="126"/>
        <v>5.7820179242555652</v>
      </c>
      <c r="F242" s="249">
        <v>19724</v>
      </c>
      <c r="G242" s="249">
        <v>20749</v>
      </c>
      <c r="H242" s="437">
        <f t="shared" si="127"/>
        <v>5.1967146623402964</v>
      </c>
      <c r="I242" s="249">
        <v>9478</v>
      </c>
      <c r="J242" s="249">
        <v>10014</v>
      </c>
      <c r="K242" s="437">
        <f t="shared" si="128"/>
        <v>5.6552015193078713</v>
      </c>
      <c r="L242" s="249">
        <v>19318</v>
      </c>
      <c r="M242" s="249">
        <v>20494</v>
      </c>
      <c r="N242" s="250">
        <f t="shared" si="129"/>
        <v>6.0875867066984162</v>
      </c>
      <c r="O242" s="249"/>
      <c r="P242" s="249"/>
      <c r="Q242" s="250">
        <f t="shared" si="108"/>
        <v>0</v>
      </c>
      <c r="R242" s="249"/>
      <c r="S242" s="249"/>
      <c r="T242" s="250">
        <f t="shared" si="109"/>
        <v>0</v>
      </c>
      <c r="U242" s="249"/>
      <c r="V242" s="249"/>
      <c r="W242" s="250">
        <f t="shared" si="110"/>
        <v>0</v>
      </c>
      <c r="X242" s="249"/>
      <c r="Y242" s="249"/>
      <c r="Z242" s="250">
        <f t="shared" si="111"/>
        <v>0</v>
      </c>
      <c r="AA242" s="249"/>
      <c r="AB242" s="249"/>
      <c r="AC242" s="250">
        <f t="shared" si="112"/>
        <v>0</v>
      </c>
      <c r="AD242" s="249"/>
      <c r="AE242" s="249"/>
      <c r="AF242" s="250">
        <f t="shared" si="113"/>
        <v>0</v>
      </c>
      <c r="AG242" s="249"/>
      <c r="AH242" s="249"/>
      <c r="AI242" s="250">
        <f t="shared" si="114"/>
        <v>0</v>
      </c>
      <c r="AJ242" s="249"/>
      <c r="AK242" s="249"/>
      <c r="AL242" s="250">
        <f t="shared" si="115"/>
        <v>0</v>
      </c>
      <c r="AM242" s="249"/>
      <c r="AN242" s="249"/>
      <c r="AO242" s="250">
        <f t="shared" si="116"/>
        <v>0</v>
      </c>
      <c r="AP242" s="249"/>
      <c r="AQ242" s="249"/>
      <c r="AR242" s="250">
        <f t="shared" si="117"/>
        <v>0</v>
      </c>
      <c r="AS242" s="249"/>
      <c r="AT242" s="249"/>
      <c r="AU242" s="250">
        <f t="shared" si="118"/>
        <v>0</v>
      </c>
      <c r="AV242" s="249"/>
      <c r="AW242" s="249"/>
      <c r="AX242" s="250">
        <f t="shared" si="119"/>
        <v>0</v>
      </c>
      <c r="AY242" s="249"/>
      <c r="AZ242" s="249"/>
      <c r="BA242" s="250">
        <f t="shared" si="120"/>
        <v>0</v>
      </c>
      <c r="BB242" s="249"/>
      <c r="BC242" s="249"/>
      <c r="BD242" s="250">
        <f t="shared" si="121"/>
        <v>0</v>
      </c>
    </row>
    <row r="243" spans="1:56">
      <c r="A243" s="251"/>
      <c r="B243" s="259" t="s">
        <v>386</v>
      </c>
      <c r="C243" s="249">
        <v>6750</v>
      </c>
      <c r="D243" s="249">
        <v>7074</v>
      </c>
      <c r="E243" s="508">
        <f t="shared" si="126"/>
        <v>4.8</v>
      </c>
      <c r="F243" s="249">
        <v>17004</v>
      </c>
      <c r="G243" s="249">
        <v>17972</v>
      </c>
      <c r="H243" s="437">
        <f t="shared" si="127"/>
        <v>5.6927781698423896</v>
      </c>
      <c r="I243" s="249">
        <v>7101</v>
      </c>
      <c r="J243" s="249">
        <v>7457</v>
      </c>
      <c r="K243" s="437">
        <f t="shared" si="128"/>
        <v>5.0133783974088155</v>
      </c>
      <c r="L243" s="249">
        <v>17092</v>
      </c>
      <c r="M243" s="249">
        <v>18238</v>
      </c>
      <c r="N243" s="250">
        <f t="shared" si="129"/>
        <v>6.7048911771589044</v>
      </c>
      <c r="O243" s="249"/>
      <c r="P243" s="249"/>
      <c r="Q243" s="250">
        <f t="shared" si="108"/>
        <v>0</v>
      </c>
      <c r="R243" s="249"/>
      <c r="S243" s="249"/>
      <c r="T243" s="250">
        <f t="shared" si="109"/>
        <v>0</v>
      </c>
      <c r="U243" s="249"/>
      <c r="V243" s="249"/>
      <c r="W243" s="250">
        <f t="shared" si="110"/>
        <v>0</v>
      </c>
      <c r="X243" s="249"/>
      <c r="Y243" s="249"/>
      <c r="Z243" s="250">
        <f t="shared" si="111"/>
        <v>0</v>
      </c>
      <c r="AA243" s="249"/>
      <c r="AB243" s="249"/>
      <c r="AC243" s="250">
        <f t="shared" si="112"/>
        <v>0</v>
      </c>
      <c r="AD243" s="249"/>
      <c r="AE243" s="249"/>
      <c r="AF243" s="250">
        <f t="shared" si="113"/>
        <v>0</v>
      </c>
      <c r="AG243" s="249"/>
      <c r="AH243" s="249"/>
      <c r="AI243" s="250">
        <f t="shared" si="114"/>
        <v>0</v>
      </c>
      <c r="AJ243" s="249"/>
      <c r="AK243" s="249"/>
      <c r="AL243" s="250">
        <f t="shared" si="115"/>
        <v>0</v>
      </c>
      <c r="AM243" s="249"/>
      <c r="AN243" s="249"/>
      <c r="AO243" s="250">
        <f t="shared" si="116"/>
        <v>0</v>
      </c>
      <c r="AP243" s="249"/>
      <c r="AQ243" s="249"/>
      <c r="AR243" s="250">
        <f t="shared" si="117"/>
        <v>0</v>
      </c>
      <c r="AS243" s="249"/>
      <c r="AT243" s="249"/>
      <c r="AU243" s="250">
        <f t="shared" si="118"/>
        <v>0</v>
      </c>
      <c r="AV243" s="249"/>
      <c r="AW243" s="249"/>
      <c r="AX243" s="250">
        <f t="shared" si="119"/>
        <v>0</v>
      </c>
      <c r="AY243" s="249"/>
      <c r="AZ243" s="249"/>
      <c r="BA243" s="250">
        <f t="shared" si="120"/>
        <v>0</v>
      </c>
      <c r="BB243" s="249"/>
      <c r="BC243" s="249"/>
      <c r="BD243" s="250">
        <f t="shared" si="121"/>
        <v>0</v>
      </c>
    </row>
    <row r="244" spans="1:56">
      <c r="A244" s="251"/>
      <c r="B244" s="259" t="s">
        <v>387</v>
      </c>
      <c r="C244" s="249">
        <v>5903</v>
      </c>
      <c r="D244" s="249">
        <v>6174</v>
      </c>
      <c r="E244" s="508">
        <f t="shared" si="126"/>
        <v>4.5908859901744874</v>
      </c>
      <c r="F244" s="249">
        <v>14930</v>
      </c>
      <c r="G244" s="249">
        <v>15992</v>
      </c>
      <c r="H244" s="437">
        <f t="shared" si="127"/>
        <v>7.1131949095780316</v>
      </c>
      <c r="I244" s="249">
        <v>7376</v>
      </c>
      <c r="J244" s="249">
        <v>7716.5</v>
      </c>
      <c r="K244" s="437">
        <f t="shared" si="128"/>
        <v>4.6163232104121477</v>
      </c>
      <c r="L244" s="249">
        <v>18749.5</v>
      </c>
      <c r="M244" s="249">
        <v>19633</v>
      </c>
      <c r="N244" s="250">
        <f t="shared" si="129"/>
        <v>4.7121256566841785</v>
      </c>
      <c r="O244" s="249"/>
      <c r="P244" s="249"/>
      <c r="Q244" s="250">
        <f t="shared" si="108"/>
        <v>0</v>
      </c>
      <c r="R244" s="249"/>
      <c r="S244" s="249"/>
      <c r="T244" s="250">
        <f t="shared" si="109"/>
        <v>0</v>
      </c>
      <c r="U244" s="249"/>
      <c r="V244" s="249"/>
      <c r="W244" s="250">
        <f t="shared" si="110"/>
        <v>0</v>
      </c>
      <c r="X244" s="249"/>
      <c r="Y244" s="249"/>
      <c r="Z244" s="250">
        <f t="shared" si="111"/>
        <v>0</v>
      </c>
      <c r="AA244" s="249"/>
      <c r="AB244" s="249"/>
      <c r="AC244" s="250">
        <f t="shared" si="112"/>
        <v>0</v>
      </c>
      <c r="AD244" s="249"/>
      <c r="AE244" s="249"/>
      <c r="AF244" s="250">
        <f t="shared" si="113"/>
        <v>0</v>
      </c>
      <c r="AG244" s="249"/>
      <c r="AH244" s="249"/>
      <c r="AI244" s="250">
        <f t="shared" si="114"/>
        <v>0</v>
      </c>
      <c r="AJ244" s="249"/>
      <c r="AK244" s="249"/>
      <c r="AL244" s="250">
        <f t="shared" si="115"/>
        <v>0</v>
      </c>
      <c r="AM244" s="249"/>
      <c r="AN244" s="249"/>
      <c r="AO244" s="250">
        <f t="shared" si="116"/>
        <v>0</v>
      </c>
      <c r="AP244" s="249"/>
      <c r="AQ244" s="249"/>
      <c r="AR244" s="250">
        <f t="shared" si="117"/>
        <v>0</v>
      </c>
      <c r="AS244" s="249"/>
      <c r="AT244" s="249"/>
      <c r="AU244" s="250">
        <f t="shared" si="118"/>
        <v>0</v>
      </c>
      <c r="AV244" s="249"/>
      <c r="AW244" s="249"/>
      <c r="AX244" s="250">
        <f t="shared" si="119"/>
        <v>0</v>
      </c>
      <c r="AY244" s="249"/>
      <c r="AZ244" s="249"/>
      <c r="BA244" s="250">
        <f t="shared" si="120"/>
        <v>0</v>
      </c>
      <c r="BB244" s="249"/>
      <c r="BC244" s="249"/>
      <c r="BD244" s="250">
        <f t="shared" si="121"/>
        <v>0</v>
      </c>
    </row>
    <row r="245" spans="1:56">
      <c r="A245" s="251"/>
      <c r="B245" s="259" t="s">
        <v>388</v>
      </c>
      <c r="C245" s="249">
        <v>7636.5</v>
      </c>
      <c r="D245" s="249">
        <v>8121.5</v>
      </c>
      <c r="E245" s="508">
        <f t="shared" si="126"/>
        <v>6.3510770641000454</v>
      </c>
      <c r="F245" s="249">
        <v>17527</v>
      </c>
      <c r="G245" s="249">
        <v>18532.5</v>
      </c>
      <c r="H245" s="437">
        <f t="shared" si="127"/>
        <v>5.7368631254635707</v>
      </c>
      <c r="I245" s="249">
        <v>6413</v>
      </c>
      <c r="J245" s="249">
        <v>6738</v>
      </c>
      <c r="K245" s="437">
        <f t="shared" si="128"/>
        <v>5.0678309683455485</v>
      </c>
      <c r="L245" s="249">
        <v>14322</v>
      </c>
      <c r="M245" s="249">
        <v>15173</v>
      </c>
      <c r="N245" s="250">
        <f t="shared" si="129"/>
        <v>5.94190755481078</v>
      </c>
      <c r="O245" s="249"/>
      <c r="P245" s="249"/>
      <c r="Q245" s="250">
        <f t="shared" si="108"/>
        <v>0</v>
      </c>
      <c r="R245" s="249"/>
      <c r="S245" s="249"/>
      <c r="T245" s="250">
        <f t="shared" si="109"/>
        <v>0</v>
      </c>
      <c r="U245" s="249"/>
      <c r="V245" s="249"/>
      <c r="W245" s="250">
        <f t="shared" si="110"/>
        <v>0</v>
      </c>
      <c r="X245" s="249"/>
      <c r="Y245" s="249"/>
      <c r="Z245" s="250">
        <f t="shared" si="111"/>
        <v>0</v>
      </c>
      <c r="AA245" s="249"/>
      <c r="AB245" s="249"/>
      <c r="AC245" s="250">
        <f t="shared" si="112"/>
        <v>0</v>
      </c>
      <c r="AD245" s="249"/>
      <c r="AE245" s="249"/>
      <c r="AF245" s="250">
        <f t="shared" si="113"/>
        <v>0</v>
      </c>
      <c r="AG245" s="249"/>
      <c r="AH245" s="249"/>
      <c r="AI245" s="250">
        <f t="shared" si="114"/>
        <v>0</v>
      </c>
      <c r="AJ245" s="249"/>
      <c r="AK245" s="249"/>
      <c r="AL245" s="250">
        <f t="shared" si="115"/>
        <v>0</v>
      </c>
      <c r="AM245" s="249"/>
      <c r="AN245" s="249"/>
      <c r="AO245" s="250">
        <f t="shared" si="116"/>
        <v>0</v>
      </c>
      <c r="AP245" s="249"/>
      <c r="AQ245" s="249"/>
      <c r="AR245" s="250">
        <f t="shared" si="117"/>
        <v>0</v>
      </c>
      <c r="AS245" s="249"/>
      <c r="AT245" s="249"/>
      <c r="AU245" s="250">
        <f t="shared" si="118"/>
        <v>0</v>
      </c>
      <c r="AV245" s="249"/>
      <c r="AW245" s="249"/>
      <c r="AX245" s="250">
        <f t="shared" si="119"/>
        <v>0</v>
      </c>
      <c r="AY245" s="249"/>
      <c r="AZ245" s="249"/>
      <c r="BA245" s="250">
        <f t="shared" si="120"/>
        <v>0</v>
      </c>
      <c r="BB245" s="249"/>
      <c r="BC245" s="249"/>
      <c r="BD245" s="250">
        <f t="shared" si="121"/>
        <v>0</v>
      </c>
    </row>
    <row r="246" spans="1:56">
      <c r="A246" s="251"/>
      <c r="B246" s="259" t="s">
        <v>389</v>
      </c>
      <c r="C246" s="249">
        <v>6439</v>
      </c>
      <c r="D246" s="249">
        <v>6748</v>
      </c>
      <c r="E246" s="508">
        <f t="shared" si="126"/>
        <v>4.7988818139462648</v>
      </c>
      <c r="F246" s="249">
        <v>18313</v>
      </c>
      <c r="G246" s="249">
        <v>19276</v>
      </c>
      <c r="H246" s="437">
        <f t="shared" si="127"/>
        <v>5.2585594932561568</v>
      </c>
      <c r="I246" s="249"/>
      <c r="J246" s="249"/>
      <c r="K246" s="437">
        <f t="shared" si="128"/>
        <v>0</v>
      </c>
      <c r="L246" s="249"/>
      <c r="M246" s="249"/>
      <c r="N246" s="250">
        <f t="shared" si="129"/>
        <v>0</v>
      </c>
      <c r="O246" s="249"/>
      <c r="P246" s="249"/>
      <c r="Q246" s="250">
        <f t="shared" si="108"/>
        <v>0</v>
      </c>
      <c r="R246" s="249"/>
      <c r="S246" s="249"/>
      <c r="T246" s="250">
        <f t="shared" si="109"/>
        <v>0</v>
      </c>
      <c r="U246" s="249"/>
      <c r="V246" s="249"/>
      <c r="W246" s="250">
        <f t="shared" si="110"/>
        <v>0</v>
      </c>
      <c r="X246" s="249"/>
      <c r="Y246" s="249"/>
      <c r="Z246" s="250">
        <f t="shared" si="111"/>
        <v>0</v>
      </c>
      <c r="AA246" s="249"/>
      <c r="AB246" s="249"/>
      <c r="AC246" s="250">
        <f t="shared" si="112"/>
        <v>0</v>
      </c>
      <c r="AD246" s="249"/>
      <c r="AE246" s="249"/>
      <c r="AF246" s="250">
        <f t="shared" si="113"/>
        <v>0</v>
      </c>
      <c r="AG246" s="249"/>
      <c r="AH246" s="249"/>
      <c r="AI246" s="250">
        <f t="shared" si="114"/>
        <v>0</v>
      </c>
      <c r="AJ246" s="249"/>
      <c r="AK246" s="249"/>
      <c r="AL246" s="250">
        <f t="shared" si="115"/>
        <v>0</v>
      </c>
      <c r="AM246" s="249"/>
      <c r="AN246" s="249"/>
      <c r="AO246" s="250">
        <f t="shared" si="116"/>
        <v>0</v>
      </c>
      <c r="AP246" s="249"/>
      <c r="AQ246" s="249"/>
      <c r="AR246" s="250">
        <f t="shared" si="117"/>
        <v>0</v>
      </c>
      <c r="AS246" s="249"/>
      <c r="AT246" s="249"/>
      <c r="AU246" s="250">
        <f t="shared" si="118"/>
        <v>0</v>
      </c>
      <c r="AV246" s="249"/>
      <c r="AW246" s="249"/>
      <c r="AX246" s="250">
        <f t="shared" si="119"/>
        <v>0</v>
      </c>
      <c r="AY246" s="249"/>
      <c r="AZ246" s="249"/>
      <c r="BA246" s="250">
        <f t="shared" si="120"/>
        <v>0</v>
      </c>
      <c r="BB246" s="249"/>
      <c r="BC246" s="249"/>
      <c r="BD246" s="250">
        <f t="shared" si="121"/>
        <v>0</v>
      </c>
    </row>
    <row r="247" spans="1:56" s="255" customFormat="1" ht="19.5" customHeight="1">
      <c r="A247" s="252"/>
      <c r="B247" s="431" t="s">
        <v>221</v>
      </c>
      <c r="C247" s="425">
        <v>6941</v>
      </c>
      <c r="D247" s="425">
        <v>7281</v>
      </c>
      <c r="E247" s="509">
        <f t="shared" si="126"/>
        <v>4.8984296210920615</v>
      </c>
      <c r="F247" s="425">
        <v>18385.5</v>
      </c>
      <c r="G247" s="425">
        <v>19326</v>
      </c>
      <c r="H247" s="438">
        <f t="shared" si="127"/>
        <v>5.1154442359468062</v>
      </c>
      <c r="I247" s="425">
        <v>7780</v>
      </c>
      <c r="J247" s="425">
        <v>8209.5</v>
      </c>
      <c r="K247" s="438">
        <f t="shared" si="128"/>
        <v>5.520565552699229</v>
      </c>
      <c r="L247" s="425">
        <v>18764.5</v>
      </c>
      <c r="M247" s="425">
        <v>19835.5</v>
      </c>
      <c r="N247" s="421">
        <f t="shared" si="129"/>
        <v>5.7075861333901781</v>
      </c>
      <c r="O247" s="425"/>
      <c r="P247" s="425"/>
      <c r="Q247" s="421">
        <f t="shared" si="108"/>
        <v>0</v>
      </c>
      <c r="R247" s="425"/>
      <c r="S247" s="425"/>
      <c r="T247" s="421">
        <f t="shared" si="109"/>
        <v>0</v>
      </c>
      <c r="U247" s="425"/>
      <c r="V247" s="425"/>
      <c r="W247" s="421">
        <f t="shared" si="110"/>
        <v>0</v>
      </c>
      <c r="X247" s="425"/>
      <c r="Y247" s="425"/>
      <c r="Z247" s="421">
        <f t="shared" si="111"/>
        <v>0</v>
      </c>
      <c r="AA247" s="425"/>
      <c r="AB247" s="425"/>
      <c r="AC247" s="421">
        <f t="shared" si="112"/>
        <v>0</v>
      </c>
      <c r="AD247" s="425"/>
      <c r="AE247" s="425"/>
      <c r="AF247" s="421">
        <f t="shared" si="113"/>
        <v>0</v>
      </c>
      <c r="AG247" s="425"/>
      <c r="AH247" s="425"/>
      <c r="AI247" s="421">
        <f t="shared" si="114"/>
        <v>0</v>
      </c>
      <c r="AJ247" s="425"/>
      <c r="AK247" s="425"/>
      <c r="AL247" s="421">
        <f t="shared" si="115"/>
        <v>0</v>
      </c>
      <c r="AM247" s="425"/>
      <c r="AN247" s="425"/>
      <c r="AO247" s="421">
        <f t="shared" si="116"/>
        <v>0</v>
      </c>
      <c r="AP247" s="425"/>
      <c r="AQ247" s="425"/>
      <c r="AR247" s="421">
        <f t="shared" si="117"/>
        <v>0</v>
      </c>
      <c r="AS247" s="425"/>
      <c r="AT247" s="425"/>
      <c r="AU247" s="421">
        <f t="shared" si="118"/>
        <v>0</v>
      </c>
      <c r="AV247" s="425"/>
      <c r="AW247" s="425"/>
      <c r="AX247" s="421">
        <f t="shared" si="119"/>
        <v>0</v>
      </c>
      <c r="AY247" s="425"/>
      <c r="AZ247" s="425"/>
      <c r="BA247" s="421">
        <f t="shared" si="120"/>
        <v>0</v>
      </c>
      <c r="BB247" s="425"/>
      <c r="BC247" s="425"/>
      <c r="BD247" s="421">
        <f t="shared" si="121"/>
        <v>0</v>
      </c>
    </row>
    <row r="248" spans="1:56">
      <c r="A248" s="251"/>
      <c r="B248" s="259" t="s">
        <v>390</v>
      </c>
      <c r="C248" s="249"/>
      <c r="D248" s="249"/>
      <c r="E248" s="508">
        <f t="shared" si="126"/>
        <v>0</v>
      </c>
      <c r="F248" s="249"/>
      <c r="G248" s="249"/>
      <c r="H248" s="437">
        <f t="shared" si="127"/>
        <v>0</v>
      </c>
      <c r="I248" s="249"/>
      <c r="J248" s="249"/>
      <c r="K248" s="437">
        <f t="shared" si="128"/>
        <v>0</v>
      </c>
      <c r="L248" s="249"/>
      <c r="M248" s="249"/>
      <c r="N248" s="250">
        <f t="shared" si="129"/>
        <v>0</v>
      </c>
      <c r="O248" s="249"/>
      <c r="P248" s="249"/>
      <c r="Q248" s="250">
        <f t="shared" si="108"/>
        <v>0</v>
      </c>
      <c r="R248" s="249"/>
      <c r="S248" s="249"/>
      <c r="T248" s="250">
        <f t="shared" si="109"/>
        <v>0</v>
      </c>
      <c r="U248" s="249"/>
      <c r="V248" s="249"/>
      <c r="W248" s="250">
        <f t="shared" si="110"/>
        <v>0</v>
      </c>
      <c r="X248" s="249"/>
      <c r="Y248" s="249"/>
      <c r="Z248" s="250">
        <f t="shared" si="111"/>
        <v>0</v>
      </c>
      <c r="AA248" s="249"/>
      <c r="AB248" s="249"/>
      <c r="AC248" s="250">
        <f t="shared" si="112"/>
        <v>0</v>
      </c>
      <c r="AD248" s="249"/>
      <c r="AE248" s="249"/>
      <c r="AF248" s="250">
        <f t="shared" si="113"/>
        <v>0</v>
      </c>
      <c r="AG248" s="249"/>
      <c r="AH248" s="249"/>
      <c r="AI248" s="250">
        <f t="shared" si="114"/>
        <v>0</v>
      </c>
      <c r="AJ248" s="249"/>
      <c r="AK248" s="249"/>
      <c r="AL248" s="250">
        <f t="shared" si="115"/>
        <v>0</v>
      </c>
      <c r="AM248" s="249"/>
      <c r="AN248" s="249"/>
      <c r="AO248" s="250">
        <f t="shared" si="116"/>
        <v>0</v>
      </c>
      <c r="AP248" s="249"/>
      <c r="AQ248" s="249"/>
      <c r="AR248" s="250">
        <f t="shared" si="117"/>
        <v>0</v>
      </c>
      <c r="AS248" s="249"/>
      <c r="AT248" s="249"/>
      <c r="AU248" s="250">
        <f t="shared" si="118"/>
        <v>0</v>
      </c>
      <c r="AV248" s="249"/>
      <c r="AW248" s="249"/>
      <c r="AX248" s="250">
        <f t="shared" si="119"/>
        <v>0</v>
      </c>
      <c r="AY248" s="249"/>
      <c r="AZ248" s="249"/>
      <c r="BA248" s="250">
        <f t="shared" si="120"/>
        <v>0</v>
      </c>
      <c r="BB248" s="249"/>
      <c r="BC248" s="249"/>
      <c r="BD248" s="250">
        <f t="shared" si="121"/>
        <v>0</v>
      </c>
    </row>
    <row r="249" spans="1:56">
      <c r="A249" s="251"/>
      <c r="B249" s="259" t="s">
        <v>391</v>
      </c>
      <c r="C249" s="249">
        <v>2584</v>
      </c>
      <c r="D249" s="249">
        <v>2868.6</v>
      </c>
      <c r="E249" s="508">
        <f t="shared" si="126"/>
        <v>11.013931888544889</v>
      </c>
      <c r="F249" s="249">
        <v>7839</v>
      </c>
      <c r="G249" s="249">
        <v>8244</v>
      </c>
      <c r="H249" s="437">
        <f t="shared" si="127"/>
        <v>5.1664753157290475</v>
      </c>
      <c r="I249" s="249"/>
      <c r="J249" s="249"/>
      <c r="K249" s="437">
        <f t="shared" si="128"/>
        <v>0</v>
      </c>
      <c r="L249" s="249"/>
      <c r="M249" s="249"/>
      <c r="N249" s="250">
        <f t="shared" si="129"/>
        <v>0</v>
      </c>
      <c r="O249" s="249"/>
      <c r="P249" s="249"/>
      <c r="Q249" s="250">
        <f t="shared" si="108"/>
        <v>0</v>
      </c>
      <c r="R249" s="249"/>
      <c r="S249" s="249"/>
      <c r="T249" s="250">
        <f t="shared" si="109"/>
        <v>0</v>
      </c>
      <c r="U249" s="249"/>
      <c r="V249" s="249"/>
      <c r="W249" s="250">
        <f t="shared" si="110"/>
        <v>0</v>
      </c>
      <c r="X249" s="249"/>
      <c r="Y249" s="249"/>
      <c r="Z249" s="250">
        <f t="shared" si="111"/>
        <v>0</v>
      </c>
      <c r="AA249" s="249"/>
      <c r="AB249" s="249"/>
      <c r="AC249" s="250">
        <f t="shared" si="112"/>
        <v>0</v>
      </c>
      <c r="AD249" s="249"/>
      <c r="AE249" s="249"/>
      <c r="AF249" s="250">
        <f t="shared" si="113"/>
        <v>0</v>
      </c>
      <c r="AG249" s="249"/>
      <c r="AH249" s="249"/>
      <c r="AI249" s="250">
        <f t="shared" si="114"/>
        <v>0</v>
      </c>
      <c r="AJ249" s="249"/>
      <c r="AK249" s="249"/>
      <c r="AL249" s="250">
        <f t="shared" si="115"/>
        <v>0</v>
      </c>
      <c r="AM249" s="249"/>
      <c r="AN249" s="249"/>
      <c r="AO249" s="250">
        <f t="shared" si="116"/>
        <v>0</v>
      </c>
      <c r="AP249" s="249"/>
      <c r="AQ249" s="249"/>
      <c r="AR249" s="250">
        <f t="shared" si="117"/>
        <v>0</v>
      </c>
      <c r="AS249" s="249"/>
      <c r="AT249" s="249"/>
      <c r="AU249" s="250">
        <f t="shared" si="118"/>
        <v>0</v>
      </c>
      <c r="AV249" s="249"/>
      <c r="AW249" s="249"/>
      <c r="AX249" s="250">
        <f t="shared" si="119"/>
        <v>0</v>
      </c>
      <c r="AY249" s="249"/>
      <c r="AZ249" s="249"/>
      <c r="BA249" s="250">
        <f t="shared" si="120"/>
        <v>0</v>
      </c>
      <c r="BB249" s="249"/>
      <c r="BC249" s="249"/>
      <c r="BD249" s="250">
        <f t="shared" si="121"/>
        <v>0</v>
      </c>
    </row>
    <row r="250" spans="1:56">
      <c r="A250" s="251"/>
      <c r="B250" s="259" t="s">
        <v>392</v>
      </c>
      <c r="C250" s="249">
        <v>2584</v>
      </c>
      <c r="D250" s="249">
        <v>2868.6</v>
      </c>
      <c r="E250" s="508">
        <f t="shared" si="126"/>
        <v>11.013931888544889</v>
      </c>
      <c r="F250" s="249">
        <v>7839</v>
      </c>
      <c r="G250" s="249">
        <v>8244</v>
      </c>
      <c r="H250" s="437">
        <f t="shared" si="127"/>
        <v>5.1664753157290475</v>
      </c>
      <c r="I250" s="249"/>
      <c r="J250" s="249"/>
      <c r="K250" s="437">
        <f t="shared" si="128"/>
        <v>0</v>
      </c>
      <c r="L250" s="249"/>
      <c r="M250" s="249"/>
      <c r="N250" s="250">
        <f t="shared" si="129"/>
        <v>0</v>
      </c>
      <c r="O250" s="249"/>
      <c r="P250" s="249"/>
      <c r="Q250" s="250">
        <f t="shared" si="108"/>
        <v>0</v>
      </c>
      <c r="R250" s="249"/>
      <c r="S250" s="249"/>
      <c r="T250" s="250">
        <f t="shared" si="109"/>
        <v>0</v>
      </c>
      <c r="U250" s="249"/>
      <c r="V250" s="249"/>
      <c r="W250" s="250">
        <f t="shared" si="110"/>
        <v>0</v>
      </c>
      <c r="X250" s="249"/>
      <c r="Y250" s="249"/>
      <c r="Z250" s="250">
        <f t="shared" si="111"/>
        <v>0</v>
      </c>
      <c r="AA250" s="249"/>
      <c r="AB250" s="249"/>
      <c r="AC250" s="250">
        <f t="shared" si="112"/>
        <v>0</v>
      </c>
      <c r="AD250" s="249"/>
      <c r="AE250" s="249"/>
      <c r="AF250" s="250">
        <f t="shared" si="113"/>
        <v>0</v>
      </c>
      <c r="AG250" s="249"/>
      <c r="AH250" s="249"/>
      <c r="AI250" s="250">
        <f t="shared" si="114"/>
        <v>0</v>
      </c>
      <c r="AJ250" s="249"/>
      <c r="AK250" s="249"/>
      <c r="AL250" s="250">
        <f t="shared" si="115"/>
        <v>0</v>
      </c>
      <c r="AM250" s="249"/>
      <c r="AN250" s="249"/>
      <c r="AO250" s="250">
        <f t="shared" si="116"/>
        <v>0</v>
      </c>
      <c r="AP250" s="249"/>
      <c r="AQ250" s="249"/>
      <c r="AR250" s="250">
        <f t="shared" si="117"/>
        <v>0</v>
      </c>
      <c r="AS250" s="249"/>
      <c r="AT250" s="249"/>
      <c r="AU250" s="250">
        <f t="shared" si="118"/>
        <v>0</v>
      </c>
      <c r="AV250" s="249"/>
      <c r="AW250" s="249"/>
      <c r="AX250" s="250">
        <f t="shared" si="119"/>
        <v>0</v>
      </c>
      <c r="AY250" s="249"/>
      <c r="AZ250" s="249"/>
      <c r="BA250" s="250">
        <f t="shared" si="120"/>
        <v>0</v>
      </c>
      <c r="BB250" s="249"/>
      <c r="BC250" s="249"/>
      <c r="BD250" s="250">
        <f t="shared" si="121"/>
        <v>0</v>
      </c>
    </row>
    <row r="251" spans="1:56">
      <c r="A251" s="251"/>
      <c r="B251" s="259" t="s">
        <v>196</v>
      </c>
      <c r="C251" s="249">
        <v>2584</v>
      </c>
      <c r="D251" s="249">
        <v>2868.6</v>
      </c>
      <c r="E251" s="508">
        <f t="shared" si="126"/>
        <v>11.013931888544889</v>
      </c>
      <c r="F251" s="249">
        <v>7839</v>
      </c>
      <c r="G251" s="249">
        <v>8244</v>
      </c>
      <c r="H251" s="437">
        <f t="shared" si="127"/>
        <v>5.1664753157290475</v>
      </c>
      <c r="I251" s="249"/>
      <c r="J251" s="249"/>
      <c r="K251" s="437">
        <f t="shared" si="128"/>
        <v>0</v>
      </c>
      <c r="L251" s="249"/>
      <c r="M251" s="249"/>
      <c r="N251" s="250">
        <f t="shared" si="129"/>
        <v>0</v>
      </c>
      <c r="O251" s="249"/>
      <c r="P251" s="249"/>
      <c r="Q251" s="250">
        <f t="shared" si="108"/>
        <v>0</v>
      </c>
      <c r="R251" s="249"/>
      <c r="S251" s="249"/>
      <c r="T251" s="250">
        <f t="shared" si="109"/>
        <v>0</v>
      </c>
      <c r="U251" s="249"/>
      <c r="V251" s="249"/>
      <c r="W251" s="250">
        <f t="shared" si="110"/>
        <v>0</v>
      </c>
      <c r="X251" s="249"/>
      <c r="Y251" s="249"/>
      <c r="Z251" s="250">
        <f t="shared" si="111"/>
        <v>0</v>
      </c>
      <c r="AA251" s="249"/>
      <c r="AB251" s="249"/>
      <c r="AC251" s="250">
        <f t="shared" si="112"/>
        <v>0</v>
      </c>
      <c r="AD251" s="249"/>
      <c r="AE251" s="249"/>
      <c r="AF251" s="250">
        <f t="shared" si="113"/>
        <v>0</v>
      </c>
      <c r="AG251" s="249"/>
      <c r="AH251" s="249"/>
      <c r="AI251" s="250">
        <f t="shared" si="114"/>
        <v>0</v>
      </c>
      <c r="AJ251" s="249"/>
      <c r="AK251" s="249"/>
      <c r="AL251" s="250">
        <f t="shared" si="115"/>
        <v>0</v>
      </c>
      <c r="AM251" s="249"/>
      <c r="AN251" s="249"/>
      <c r="AO251" s="250">
        <f t="shared" si="116"/>
        <v>0</v>
      </c>
      <c r="AP251" s="249"/>
      <c r="AQ251" s="249"/>
      <c r="AR251" s="250">
        <f t="shared" si="117"/>
        <v>0</v>
      </c>
      <c r="AS251" s="249"/>
      <c r="AT251" s="249"/>
      <c r="AU251" s="250">
        <f t="shared" si="118"/>
        <v>0</v>
      </c>
      <c r="AV251" s="249"/>
      <c r="AW251" s="249"/>
      <c r="AX251" s="250">
        <f t="shared" si="119"/>
        <v>0</v>
      </c>
      <c r="AY251" s="249"/>
      <c r="AZ251" s="249"/>
      <c r="BA251" s="250">
        <f t="shared" si="120"/>
        <v>0</v>
      </c>
      <c r="BB251" s="249"/>
      <c r="BC251" s="249"/>
      <c r="BD251" s="250">
        <f t="shared" si="121"/>
        <v>0</v>
      </c>
    </row>
    <row r="252" spans="1:56" s="255" customFormat="1" ht="20.25" customHeight="1">
      <c r="A252" s="252"/>
      <c r="B252" s="431" t="s">
        <v>550</v>
      </c>
      <c r="C252" s="425">
        <v>2584</v>
      </c>
      <c r="D252" s="425">
        <v>2868.6</v>
      </c>
      <c r="E252" s="509">
        <f t="shared" si="126"/>
        <v>11.013931888544889</v>
      </c>
      <c r="F252" s="425">
        <v>7839</v>
      </c>
      <c r="G252" s="425">
        <v>8244</v>
      </c>
      <c r="H252" s="438">
        <f t="shared" si="127"/>
        <v>5.1664753157290475</v>
      </c>
      <c r="I252" s="425"/>
      <c r="J252" s="425"/>
      <c r="K252" s="438">
        <f t="shared" si="128"/>
        <v>0</v>
      </c>
      <c r="L252" s="425"/>
      <c r="M252" s="425"/>
      <c r="N252" s="421">
        <f t="shared" si="129"/>
        <v>0</v>
      </c>
      <c r="O252" s="425"/>
      <c r="P252" s="425"/>
      <c r="Q252" s="421">
        <f t="shared" si="108"/>
        <v>0</v>
      </c>
      <c r="R252" s="425"/>
      <c r="S252" s="425"/>
      <c r="T252" s="421">
        <f t="shared" si="109"/>
        <v>0</v>
      </c>
      <c r="U252" s="425"/>
      <c r="V252" s="425"/>
      <c r="W252" s="421">
        <f t="shared" si="110"/>
        <v>0</v>
      </c>
      <c r="X252" s="425"/>
      <c r="Y252" s="425"/>
      <c r="Z252" s="421">
        <f t="shared" si="111"/>
        <v>0</v>
      </c>
      <c r="AA252" s="425"/>
      <c r="AB252" s="425"/>
      <c r="AC252" s="421">
        <f t="shared" si="112"/>
        <v>0</v>
      </c>
      <c r="AD252" s="425"/>
      <c r="AE252" s="425"/>
      <c r="AF252" s="421">
        <f t="shared" si="113"/>
        <v>0</v>
      </c>
      <c r="AG252" s="425"/>
      <c r="AH252" s="425"/>
      <c r="AI252" s="421">
        <f t="shared" si="114"/>
        <v>0</v>
      </c>
      <c r="AJ252" s="425"/>
      <c r="AK252" s="425"/>
      <c r="AL252" s="421">
        <f t="shared" si="115"/>
        <v>0</v>
      </c>
      <c r="AM252" s="425"/>
      <c r="AN252" s="425"/>
      <c r="AO252" s="421">
        <f t="shared" si="116"/>
        <v>0</v>
      </c>
      <c r="AP252" s="425"/>
      <c r="AQ252" s="425"/>
      <c r="AR252" s="421">
        <f t="shared" si="117"/>
        <v>0</v>
      </c>
      <c r="AS252" s="425"/>
      <c r="AT252" s="425"/>
      <c r="AU252" s="421">
        <f t="shared" si="118"/>
        <v>0</v>
      </c>
      <c r="AV252" s="425"/>
      <c r="AW252" s="425"/>
      <c r="AX252" s="421">
        <f t="shared" si="119"/>
        <v>0</v>
      </c>
      <c r="AY252" s="425"/>
      <c r="AZ252" s="425"/>
      <c r="BA252" s="421">
        <f t="shared" si="120"/>
        <v>0</v>
      </c>
      <c r="BB252" s="425"/>
      <c r="BC252" s="425"/>
      <c r="BD252" s="421">
        <f t="shared" si="121"/>
        <v>0</v>
      </c>
    </row>
    <row r="253" spans="1:56">
      <c r="A253" s="251"/>
      <c r="B253" s="259" t="s">
        <v>197</v>
      </c>
      <c r="C253" s="249"/>
      <c r="D253" s="249"/>
      <c r="E253" s="508">
        <f t="shared" si="126"/>
        <v>0</v>
      </c>
      <c r="F253" s="249"/>
      <c r="G253" s="249"/>
      <c r="H253" s="437">
        <f t="shared" si="127"/>
        <v>0</v>
      </c>
      <c r="I253" s="249"/>
      <c r="J253" s="249"/>
      <c r="K253" s="437">
        <f t="shared" si="128"/>
        <v>0</v>
      </c>
      <c r="L253" s="249"/>
      <c r="M253" s="249"/>
      <c r="N253" s="250">
        <f t="shared" si="129"/>
        <v>0</v>
      </c>
      <c r="O253" s="249"/>
      <c r="P253" s="249"/>
      <c r="Q253" s="250">
        <f t="shared" si="108"/>
        <v>0</v>
      </c>
      <c r="R253" s="249"/>
      <c r="S253" s="249"/>
      <c r="T253" s="250">
        <f t="shared" si="109"/>
        <v>0</v>
      </c>
      <c r="U253" s="249"/>
      <c r="V253" s="249"/>
      <c r="W253" s="250">
        <f t="shared" si="110"/>
        <v>0</v>
      </c>
      <c r="X253" s="249"/>
      <c r="Y253" s="249"/>
      <c r="Z253" s="250">
        <f t="shared" si="111"/>
        <v>0</v>
      </c>
      <c r="AA253" s="249"/>
      <c r="AB253" s="249"/>
      <c r="AC253" s="250">
        <f t="shared" si="112"/>
        <v>0</v>
      </c>
      <c r="AD253" s="249"/>
      <c r="AE253" s="249"/>
      <c r="AF253" s="250">
        <f t="shared" si="113"/>
        <v>0</v>
      </c>
      <c r="AG253" s="249"/>
      <c r="AH253" s="249"/>
      <c r="AI253" s="250">
        <f t="shared" si="114"/>
        <v>0</v>
      </c>
      <c r="AJ253" s="249"/>
      <c r="AK253" s="249"/>
      <c r="AL253" s="250">
        <f t="shared" si="115"/>
        <v>0</v>
      </c>
      <c r="AM253" s="249"/>
      <c r="AN253" s="249"/>
      <c r="AO253" s="250">
        <f t="shared" si="116"/>
        <v>0</v>
      </c>
      <c r="AP253" s="249"/>
      <c r="AQ253" s="249"/>
      <c r="AR253" s="250">
        <f t="shared" si="117"/>
        <v>0</v>
      </c>
      <c r="AS253" s="249"/>
      <c r="AT253" s="249"/>
      <c r="AU253" s="250">
        <f t="shared" si="118"/>
        <v>0</v>
      </c>
      <c r="AV253" s="249"/>
      <c r="AW253" s="249"/>
      <c r="AX253" s="250">
        <f t="shared" si="119"/>
        <v>0</v>
      </c>
      <c r="AY253" s="249"/>
      <c r="AZ253" s="249"/>
      <c r="BA253" s="250">
        <f t="shared" si="120"/>
        <v>0</v>
      </c>
      <c r="BB253" s="249"/>
      <c r="BC253" s="249"/>
      <c r="BD253" s="250">
        <f t="shared" si="121"/>
        <v>0</v>
      </c>
    </row>
    <row r="254" spans="1:56">
      <c r="A254" s="251"/>
      <c r="B254" s="259" t="s">
        <v>326</v>
      </c>
      <c r="C254" s="249"/>
      <c r="D254" s="249"/>
      <c r="E254" s="508">
        <f t="shared" si="126"/>
        <v>0</v>
      </c>
      <c r="F254" s="249"/>
      <c r="G254" s="249"/>
      <c r="H254" s="437">
        <f t="shared" si="127"/>
        <v>0</v>
      </c>
      <c r="I254" s="249"/>
      <c r="J254" s="249"/>
      <c r="K254" s="437">
        <f t="shared" si="128"/>
        <v>0</v>
      </c>
      <c r="L254" s="249"/>
      <c r="M254" s="249"/>
      <c r="N254" s="250">
        <f t="shared" si="129"/>
        <v>0</v>
      </c>
      <c r="O254" s="249"/>
      <c r="P254" s="249"/>
      <c r="Q254" s="250">
        <f t="shared" si="108"/>
        <v>0</v>
      </c>
      <c r="R254" s="249"/>
      <c r="S254" s="249"/>
      <c r="T254" s="250">
        <f t="shared" si="109"/>
        <v>0</v>
      </c>
      <c r="U254" s="249"/>
      <c r="V254" s="249"/>
      <c r="W254" s="250">
        <f t="shared" si="110"/>
        <v>0</v>
      </c>
      <c r="X254" s="249"/>
      <c r="Y254" s="249"/>
      <c r="Z254" s="250">
        <f t="shared" si="111"/>
        <v>0</v>
      </c>
      <c r="AA254" s="249"/>
      <c r="AB254" s="249"/>
      <c r="AC254" s="250">
        <f t="shared" si="112"/>
        <v>0</v>
      </c>
      <c r="AD254" s="249"/>
      <c r="AE254" s="249"/>
      <c r="AF254" s="250">
        <f t="shared" si="113"/>
        <v>0</v>
      </c>
      <c r="AG254" s="249"/>
      <c r="AH254" s="249"/>
      <c r="AI254" s="250">
        <f t="shared" si="114"/>
        <v>0</v>
      </c>
      <c r="AJ254" s="249"/>
      <c r="AK254" s="249"/>
      <c r="AL254" s="250">
        <f t="shared" si="115"/>
        <v>0</v>
      </c>
      <c r="AM254" s="249"/>
      <c r="AN254" s="249"/>
      <c r="AO254" s="250">
        <f t="shared" si="116"/>
        <v>0</v>
      </c>
      <c r="AP254" s="249"/>
      <c r="AQ254" s="249"/>
      <c r="AR254" s="250">
        <f t="shared" si="117"/>
        <v>0</v>
      </c>
      <c r="AS254" s="249"/>
      <c r="AT254" s="249"/>
      <c r="AU254" s="250">
        <f t="shared" si="118"/>
        <v>0</v>
      </c>
      <c r="AV254" s="249"/>
      <c r="AW254" s="249"/>
      <c r="AX254" s="250">
        <f t="shared" si="119"/>
        <v>0</v>
      </c>
      <c r="AY254" s="249"/>
      <c r="AZ254" s="249"/>
      <c r="BA254" s="250">
        <f t="shared" si="120"/>
        <v>0</v>
      </c>
      <c r="BB254" s="249"/>
      <c r="BC254" s="249"/>
      <c r="BD254" s="250">
        <f t="shared" si="121"/>
        <v>0</v>
      </c>
    </row>
    <row r="255" spans="1:56">
      <c r="A255" s="251"/>
      <c r="B255" s="259" t="s">
        <v>327</v>
      </c>
      <c r="C255" s="249"/>
      <c r="D255" s="249"/>
      <c r="E255" s="508"/>
      <c r="F255" s="249"/>
      <c r="G255" s="249"/>
      <c r="H255" s="437">
        <f t="shared" si="127"/>
        <v>0</v>
      </c>
      <c r="I255" s="249"/>
      <c r="J255" s="249"/>
      <c r="K255" s="437">
        <f t="shared" si="128"/>
        <v>0</v>
      </c>
      <c r="L255" s="249"/>
      <c r="M255" s="249"/>
      <c r="N255" s="250">
        <f t="shared" si="129"/>
        <v>0</v>
      </c>
      <c r="O255" s="249"/>
      <c r="P255" s="249"/>
      <c r="Q255" s="250">
        <f t="shared" si="108"/>
        <v>0</v>
      </c>
      <c r="R255" s="249"/>
      <c r="S255" s="249"/>
      <c r="T255" s="250">
        <f t="shared" si="109"/>
        <v>0</v>
      </c>
      <c r="U255" s="249"/>
      <c r="V255" s="249"/>
      <c r="W255" s="250">
        <f t="shared" si="110"/>
        <v>0</v>
      </c>
      <c r="X255" s="249"/>
      <c r="Y255" s="249"/>
      <c r="Z255" s="250">
        <f t="shared" si="111"/>
        <v>0</v>
      </c>
      <c r="AA255" s="249"/>
      <c r="AB255" s="249"/>
      <c r="AC255" s="250">
        <f t="shared" si="112"/>
        <v>0</v>
      </c>
      <c r="AD255" s="249"/>
      <c r="AE255" s="249"/>
      <c r="AF255" s="250">
        <f t="shared" si="113"/>
        <v>0</v>
      </c>
      <c r="AG255" s="249"/>
      <c r="AH255" s="249"/>
      <c r="AI255" s="250">
        <f t="shared" si="114"/>
        <v>0</v>
      </c>
      <c r="AJ255" s="249"/>
      <c r="AK255" s="249"/>
      <c r="AL255" s="250">
        <f t="shared" si="115"/>
        <v>0</v>
      </c>
      <c r="AM255" s="249"/>
      <c r="AN255" s="249"/>
      <c r="AO255" s="250">
        <f t="shared" si="116"/>
        <v>0</v>
      </c>
      <c r="AP255" s="249"/>
      <c r="AQ255" s="249"/>
      <c r="AR255" s="250">
        <f t="shared" si="117"/>
        <v>0</v>
      </c>
      <c r="AS255" s="249"/>
      <c r="AT255" s="249"/>
      <c r="AU255" s="250">
        <f t="shared" si="118"/>
        <v>0</v>
      </c>
      <c r="AV255" s="249"/>
      <c r="AW255" s="249"/>
      <c r="AX255" s="250">
        <f t="shared" si="119"/>
        <v>0</v>
      </c>
      <c r="AY255" s="249"/>
      <c r="AZ255" s="249"/>
      <c r="BA255" s="250">
        <f t="shared" si="120"/>
        <v>0</v>
      </c>
      <c r="BB255" s="249"/>
      <c r="BC255" s="249"/>
      <c r="BD255" s="250">
        <f t="shared" si="121"/>
        <v>0</v>
      </c>
    </row>
    <row r="256" spans="1:56" s="255" customFormat="1" ht="21.75" customHeight="1">
      <c r="A256" s="252"/>
      <c r="B256" s="427" t="s">
        <v>315</v>
      </c>
      <c r="C256" s="253"/>
      <c r="D256" s="253"/>
      <c r="E256" s="511">
        <f>IF(C256&gt;0,(((D256-C256)/C256)*100),0)</f>
        <v>0</v>
      </c>
      <c r="F256" s="253"/>
      <c r="G256" s="253"/>
      <c r="H256" s="440">
        <f t="shared" si="127"/>
        <v>0</v>
      </c>
      <c r="I256" s="253"/>
      <c r="J256" s="253"/>
      <c r="K256" s="440">
        <f t="shared" si="128"/>
        <v>0</v>
      </c>
      <c r="L256" s="253"/>
      <c r="M256" s="253"/>
      <c r="N256" s="254">
        <f t="shared" si="129"/>
        <v>0</v>
      </c>
      <c r="O256" s="253"/>
      <c r="P256" s="253"/>
      <c r="Q256" s="254">
        <f t="shared" si="108"/>
        <v>0</v>
      </c>
      <c r="R256" s="253"/>
      <c r="S256" s="253"/>
      <c r="T256" s="254">
        <f t="shared" si="109"/>
        <v>0</v>
      </c>
      <c r="U256" s="253"/>
      <c r="V256" s="253"/>
      <c r="W256" s="254">
        <f t="shared" si="110"/>
        <v>0</v>
      </c>
      <c r="X256" s="253"/>
      <c r="Y256" s="253"/>
      <c r="Z256" s="254">
        <f t="shared" si="111"/>
        <v>0</v>
      </c>
      <c r="AA256" s="253"/>
      <c r="AB256" s="253"/>
      <c r="AC256" s="254">
        <f t="shared" si="112"/>
        <v>0</v>
      </c>
      <c r="AD256" s="253"/>
      <c r="AE256" s="253"/>
      <c r="AF256" s="254">
        <f t="shared" si="113"/>
        <v>0</v>
      </c>
      <c r="AG256" s="253"/>
      <c r="AH256" s="253"/>
      <c r="AI256" s="254">
        <f t="shared" si="114"/>
        <v>0</v>
      </c>
      <c r="AJ256" s="253"/>
      <c r="AK256" s="253"/>
      <c r="AL256" s="254">
        <f t="shared" si="115"/>
        <v>0</v>
      </c>
      <c r="AM256" s="253"/>
      <c r="AN256" s="253"/>
      <c r="AO256" s="254">
        <f t="shared" si="116"/>
        <v>0</v>
      </c>
      <c r="AP256" s="253"/>
      <c r="AQ256" s="253"/>
      <c r="AR256" s="254">
        <f t="shared" si="117"/>
        <v>0</v>
      </c>
      <c r="AS256" s="253"/>
      <c r="AT256" s="253"/>
      <c r="AU256" s="254">
        <f t="shared" si="118"/>
        <v>0</v>
      </c>
      <c r="AV256" s="253"/>
      <c r="AW256" s="253"/>
      <c r="AX256" s="254">
        <f t="shared" si="119"/>
        <v>0</v>
      </c>
      <c r="AY256" s="253"/>
      <c r="AZ256" s="253"/>
      <c r="BA256" s="254">
        <f t="shared" si="120"/>
        <v>0</v>
      </c>
      <c r="BB256" s="253"/>
      <c r="BC256" s="253"/>
      <c r="BD256" s="254">
        <f t="shared" si="121"/>
        <v>0</v>
      </c>
    </row>
    <row r="257" spans="1:56">
      <c r="A257" s="256"/>
      <c r="B257" s="428" t="s">
        <v>198</v>
      </c>
      <c r="C257" s="257"/>
      <c r="D257" s="257"/>
      <c r="E257" s="510"/>
      <c r="F257" s="257"/>
      <c r="G257" s="257"/>
      <c r="H257" s="439"/>
      <c r="I257" s="257"/>
      <c r="J257" s="257"/>
      <c r="K257" s="439"/>
      <c r="L257" s="257"/>
      <c r="M257" s="257"/>
      <c r="N257" s="258"/>
      <c r="O257" s="257">
        <v>20146</v>
      </c>
      <c r="P257" s="257">
        <v>21646</v>
      </c>
      <c r="Q257" s="258">
        <f t="shared" si="108"/>
        <v>7.4456467785168279</v>
      </c>
      <c r="R257" s="257">
        <v>31948</v>
      </c>
      <c r="S257" s="257">
        <v>34220</v>
      </c>
      <c r="T257" s="258">
        <f t="shared" si="109"/>
        <v>7.1115562789532989</v>
      </c>
      <c r="U257" s="257">
        <v>30185</v>
      </c>
      <c r="V257" s="257">
        <v>31858</v>
      </c>
      <c r="W257" s="258">
        <f t="shared" si="110"/>
        <v>5.5424879907238696</v>
      </c>
      <c r="X257" s="257">
        <v>42087.5</v>
      </c>
      <c r="Y257" s="257">
        <v>44085</v>
      </c>
      <c r="Z257" s="258">
        <f t="shared" si="111"/>
        <v>4.7460647460647456</v>
      </c>
      <c r="AA257" s="257">
        <f>+'Tuition &amp; Fees Data'!U680</f>
        <v>26028</v>
      </c>
      <c r="AB257" s="257">
        <f>+'Tuition &amp; Fees Data'!V680</f>
        <v>29140</v>
      </c>
      <c r="AC257" s="258">
        <f t="shared" si="112"/>
        <v>11.956354694943906</v>
      </c>
      <c r="AD257" s="257">
        <v>45337</v>
      </c>
      <c r="AE257" s="257">
        <v>52089</v>
      </c>
      <c r="AF257" s="258">
        <f t="shared" si="113"/>
        <v>14.892913073207314</v>
      </c>
      <c r="AG257" s="257">
        <v>20805</v>
      </c>
      <c r="AH257" s="257">
        <v>22422</v>
      </c>
      <c r="AI257" s="258">
        <f t="shared" si="114"/>
        <v>7.7721701514059118</v>
      </c>
      <c r="AJ257" s="257">
        <v>27727</v>
      </c>
      <c r="AK257" s="257">
        <v>30632</v>
      </c>
      <c r="AL257" s="258">
        <f t="shared" si="115"/>
        <v>10.477152234284272</v>
      </c>
      <c r="AM257" s="257"/>
      <c r="AN257" s="257"/>
      <c r="AO257" s="258">
        <f t="shared" si="116"/>
        <v>0</v>
      </c>
      <c r="AP257" s="257"/>
      <c r="AQ257" s="257"/>
      <c r="AR257" s="258">
        <f t="shared" si="117"/>
        <v>0</v>
      </c>
      <c r="AS257" s="257"/>
      <c r="AT257" s="257"/>
      <c r="AU257" s="258">
        <f t="shared" si="118"/>
        <v>0</v>
      </c>
      <c r="AV257" s="257"/>
      <c r="AW257" s="257"/>
      <c r="AX257" s="258">
        <f t="shared" si="119"/>
        <v>0</v>
      </c>
      <c r="AY257" s="257">
        <v>17336</v>
      </c>
      <c r="AZ257" s="257">
        <v>18415</v>
      </c>
      <c r="BA257" s="258">
        <f t="shared" si="120"/>
        <v>6.2240424550069218</v>
      </c>
      <c r="BB257" s="257">
        <v>38270</v>
      </c>
      <c r="BC257" s="257">
        <v>40607</v>
      </c>
      <c r="BD257" s="258">
        <f t="shared" si="121"/>
        <v>6.1066109223935197</v>
      </c>
    </row>
    <row r="258" spans="1:56">
      <c r="A258" s="247" t="s">
        <v>643</v>
      </c>
      <c r="B258" s="259" t="s">
        <v>384</v>
      </c>
      <c r="C258" s="249">
        <v>5100</v>
      </c>
      <c r="D258" s="249">
        <v>5304</v>
      </c>
      <c r="E258" s="508">
        <f t="shared" ref="E258:E271" si="130">IF(C258&gt;0,(((D258-C258)/C258)*100),0)</f>
        <v>4</v>
      </c>
      <c r="F258" s="249">
        <v>15770</v>
      </c>
      <c r="G258" s="249">
        <v>16402</v>
      </c>
      <c r="H258" s="437">
        <f t="shared" ref="H258:H273" si="131">IF(F258&gt;0,(((G258-F258)/F258)*100),0)</f>
        <v>4.0076093849080534</v>
      </c>
      <c r="I258" s="249">
        <v>5612</v>
      </c>
      <c r="J258" s="249">
        <v>5838</v>
      </c>
      <c r="K258" s="437">
        <f t="shared" ref="K258:K273" si="132">IF(I258&gt;0,(((J258-I258)/I258)*100),0)</f>
        <v>4.0270848182466148</v>
      </c>
      <c r="L258" s="249">
        <v>16270</v>
      </c>
      <c r="M258" s="249">
        <v>16920</v>
      </c>
      <c r="N258" s="250">
        <f t="shared" ref="N258:N273" si="133">IF(L258&gt;0,(((M258-L258)/L258)*100),0)</f>
        <v>3.9950829748002459</v>
      </c>
      <c r="O258" s="249"/>
      <c r="P258" s="249"/>
      <c r="Q258" s="250">
        <f t="shared" si="108"/>
        <v>0</v>
      </c>
      <c r="R258" s="249"/>
      <c r="S258" s="249"/>
      <c r="T258" s="250">
        <f t="shared" si="109"/>
        <v>0</v>
      </c>
      <c r="U258" s="249"/>
      <c r="V258" s="249"/>
      <c r="W258" s="250">
        <f t="shared" si="110"/>
        <v>0</v>
      </c>
      <c r="X258" s="249"/>
      <c r="Y258" s="249"/>
      <c r="Z258" s="250">
        <f t="shared" si="111"/>
        <v>0</v>
      </c>
      <c r="AA258" s="249"/>
      <c r="AB258" s="249"/>
      <c r="AC258" s="250">
        <f t="shared" si="112"/>
        <v>0</v>
      </c>
      <c r="AD258" s="249"/>
      <c r="AE258" s="249"/>
      <c r="AF258" s="250">
        <f t="shared" si="113"/>
        <v>0</v>
      </c>
      <c r="AG258" s="249"/>
      <c r="AH258" s="249"/>
      <c r="AI258" s="250">
        <f t="shared" si="114"/>
        <v>0</v>
      </c>
      <c r="AJ258" s="249"/>
      <c r="AK258" s="249"/>
      <c r="AL258" s="250">
        <f t="shared" si="115"/>
        <v>0</v>
      </c>
      <c r="AM258" s="249"/>
      <c r="AN258" s="249"/>
      <c r="AO258" s="250">
        <f t="shared" si="116"/>
        <v>0</v>
      </c>
      <c r="AP258" s="249"/>
      <c r="AQ258" s="249"/>
      <c r="AR258" s="250">
        <f t="shared" si="117"/>
        <v>0</v>
      </c>
      <c r="AS258" s="249"/>
      <c r="AT258" s="249"/>
      <c r="AU258" s="250">
        <f t="shared" si="118"/>
        <v>0</v>
      </c>
      <c r="AV258" s="249"/>
      <c r="AW258" s="249"/>
      <c r="AX258" s="250">
        <f t="shared" si="119"/>
        <v>0</v>
      </c>
      <c r="AY258" s="249"/>
      <c r="AZ258" s="249"/>
      <c r="BA258" s="250">
        <f t="shared" si="120"/>
        <v>0</v>
      </c>
      <c r="BB258" s="249"/>
      <c r="BC258" s="249"/>
      <c r="BD258" s="250">
        <f t="shared" si="121"/>
        <v>0</v>
      </c>
    </row>
    <row r="259" spans="1:56">
      <c r="A259" s="251"/>
      <c r="B259" s="259" t="s">
        <v>385</v>
      </c>
      <c r="C259" s="249"/>
      <c r="D259" s="249"/>
      <c r="E259" s="508">
        <f t="shared" si="130"/>
        <v>0</v>
      </c>
      <c r="F259" s="249"/>
      <c r="G259" s="249"/>
      <c r="H259" s="437">
        <f t="shared" si="131"/>
        <v>0</v>
      </c>
      <c r="I259" s="249"/>
      <c r="J259" s="249"/>
      <c r="K259" s="437">
        <f t="shared" si="132"/>
        <v>0</v>
      </c>
      <c r="L259" s="249"/>
      <c r="M259" s="249"/>
      <c r="N259" s="250">
        <f t="shared" si="133"/>
        <v>0</v>
      </c>
      <c r="O259" s="249"/>
      <c r="P259" s="249"/>
      <c r="Q259" s="250">
        <f t="shared" si="108"/>
        <v>0</v>
      </c>
      <c r="R259" s="249"/>
      <c r="S259" s="249"/>
      <c r="T259" s="250">
        <f t="shared" si="109"/>
        <v>0</v>
      </c>
      <c r="U259" s="249"/>
      <c r="V259" s="249"/>
      <c r="W259" s="250">
        <f t="shared" si="110"/>
        <v>0</v>
      </c>
      <c r="X259" s="249"/>
      <c r="Y259" s="249"/>
      <c r="Z259" s="250">
        <f t="shared" si="111"/>
        <v>0</v>
      </c>
      <c r="AA259" s="249"/>
      <c r="AB259" s="249"/>
      <c r="AC259" s="250">
        <f t="shared" si="112"/>
        <v>0</v>
      </c>
      <c r="AD259" s="249"/>
      <c r="AE259" s="249"/>
      <c r="AF259" s="250">
        <f t="shared" si="113"/>
        <v>0</v>
      </c>
      <c r="AG259" s="249"/>
      <c r="AH259" s="249"/>
      <c r="AI259" s="250">
        <f t="shared" si="114"/>
        <v>0</v>
      </c>
      <c r="AJ259" s="249"/>
      <c r="AK259" s="249"/>
      <c r="AL259" s="250">
        <f t="shared" si="115"/>
        <v>0</v>
      </c>
      <c r="AM259" s="249"/>
      <c r="AN259" s="249"/>
      <c r="AO259" s="250">
        <f t="shared" si="116"/>
        <v>0</v>
      </c>
      <c r="AP259" s="249"/>
      <c r="AQ259" s="249"/>
      <c r="AR259" s="250">
        <f t="shared" si="117"/>
        <v>0</v>
      </c>
      <c r="AS259" s="249"/>
      <c r="AT259" s="249"/>
      <c r="AU259" s="250">
        <f t="shared" si="118"/>
        <v>0</v>
      </c>
      <c r="AV259" s="249"/>
      <c r="AW259" s="249"/>
      <c r="AX259" s="250">
        <f t="shared" si="119"/>
        <v>0</v>
      </c>
      <c r="AY259" s="249"/>
      <c r="AZ259" s="249"/>
      <c r="BA259" s="250">
        <f t="shared" si="120"/>
        <v>0</v>
      </c>
      <c r="BB259" s="249"/>
      <c r="BC259" s="249"/>
      <c r="BD259" s="250">
        <f t="shared" si="121"/>
        <v>0</v>
      </c>
    </row>
    <row r="260" spans="1:56">
      <c r="A260" s="251"/>
      <c r="B260" s="259" t="s">
        <v>386</v>
      </c>
      <c r="C260" s="249">
        <v>4898</v>
      </c>
      <c r="D260" s="249">
        <v>5236</v>
      </c>
      <c r="E260" s="508">
        <f t="shared" si="130"/>
        <v>6.9007758268681094</v>
      </c>
      <c r="F260" s="249">
        <v>12002</v>
      </c>
      <c r="G260" s="249">
        <v>12482</v>
      </c>
      <c r="H260" s="437">
        <f t="shared" si="131"/>
        <v>3.999333444425929</v>
      </c>
      <c r="I260" s="249">
        <v>5160</v>
      </c>
      <c r="J260" s="249">
        <v>5516</v>
      </c>
      <c r="K260" s="437">
        <f t="shared" si="132"/>
        <v>6.8992248062015511</v>
      </c>
      <c r="L260" s="249">
        <v>13304</v>
      </c>
      <c r="M260" s="249">
        <v>13836</v>
      </c>
      <c r="N260" s="250">
        <f t="shared" si="133"/>
        <v>3.9987973541791941</v>
      </c>
      <c r="O260" s="249"/>
      <c r="P260" s="249"/>
      <c r="Q260" s="250">
        <f t="shared" si="108"/>
        <v>0</v>
      </c>
      <c r="R260" s="249"/>
      <c r="S260" s="249"/>
      <c r="T260" s="250">
        <f t="shared" si="109"/>
        <v>0</v>
      </c>
      <c r="U260" s="249"/>
      <c r="V260" s="249"/>
      <c r="W260" s="250">
        <f t="shared" si="110"/>
        <v>0</v>
      </c>
      <c r="X260" s="249"/>
      <c r="Y260" s="249"/>
      <c r="Z260" s="250">
        <f t="shared" si="111"/>
        <v>0</v>
      </c>
      <c r="AA260" s="249"/>
      <c r="AB260" s="249"/>
      <c r="AC260" s="250">
        <f t="shared" si="112"/>
        <v>0</v>
      </c>
      <c r="AD260" s="249"/>
      <c r="AE260" s="249"/>
      <c r="AF260" s="250">
        <f t="shared" si="113"/>
        <v>0</v>
      </c>
      <c r="AG260" s="249"/>
      <c r="AH260" s="249"/>
      <c r="AI260" s="250">
        <f t="shared" si="114"/>
        <v>0</v>
      </c>
      <c r="AJ260" s="249"/>
      <c r="AK260" s="249"/>
      <c r="AL260" s="250">
        <f t="shared" si="115"/>
        <v>0</v>
      </c>
      <c r="AM260" s="249"/>
      <c r="AN260" s="249"/>
      <c r="AO260" s="250">
        <f t="shared" si="116"/>
        <v>0</v>
      </c>
      <c r="AP260" s="249"/>
      <c r="AQ260" s="249"/>
      <c r="AR260" s="250">
        <f t="shared" si="117"/>
        <v>0</v>
      </c>
      <c r="AS260" s="249"/>
      <c r="AT260" s="249"/>
      <c r="AU260" s="250">
        <f t="shared" si="118"/>
        <v>0</v>
      </c>
      <c r="AV260" s="249"/>
      <c r="AW260" s="249"/>
      <c r="AX260" s="250">
        <f t="shared" si="119"/>
        <v>0</v>
      </c>
      <c r="AY260" s="249"/>
      <c r="AZ260" s="249"/>
      <c r="BA260" s="250">
        <f t="shared" si="120"/>
        <v>0</v>
      </c>
      <c r="BB260" s="249"/>
      <c r="BC260" s="249"/>
      <c r="BD260" s="250">
        <f t="shared" si="121"/>
        <v>0</v>
      </c>
    </row>
    <row r="261" spans="1:56">
      <c r="A261" s="251"/>
      <c r="B261" s="259" t="s">
        <v>387</v>
      </c>
      <c r="C261" s="249"/>
      <c r="D261" s="249"/>
      <c r="E261" s="508">
        <f t="shared" si="130"/>
        <v>0</v>
      </c>
      <c r="F261" s="249"/>
      <c r="G261" s="249"/>
      <c r="H261" s="437">
        <f t="shared" si="131"/>
        <v>0</v>
      </c>
      <c r="I261" s="249"/>
      <c r="J261" s="249"/>
      <c r="K261" s="437">
        <f t="shared" si="132"/>
        <v>0</v>
      </c>
      <c r="L261" s="249"/>
      <c r="M261" s="249"/>
      <c r="N261" s="250">
        <f t="shared" si="133"/>
        <v>0</v>
      </c>
      <c r="O261" s="249"/>
      <c r="P261" s="249"/>
      <c r="Q261" s="250">
        <f t="shared" si="108"/>
        <v>0</v>
      </c>
      <c r="R261" s="249"/>
      <c r="S261" s="249"/>
      <c r="T261" s="250">
        <f t="shared" si="109"/>
        <v>0</v>
      </c>
      <c r="U261" s="249"/>
      <c r="V261" s="249"/>
      <c r="W261" s="250">
        <f t="shared" si="110"/>
        <v>0</v>
      </c>
      <c r="X261" s="249"/>
      <c r="Y261" s="249"/>
      <c r="Z261" s="250">
        <f t="shared" si="111"/>
        <v>0</v>
      </c>
      <c r="AA261" s="249"/>
      <c r="AB261" s="249"/>
      <c r="AC261" s="250">
        <f t="shared" si="112"/>
        <v>0</v>
      </c>
      <c r="AD261" s="249"/>
      <c r="AE261" s="249"/>
      <c r="AF261" s="250">
        <f t="shared" si="113"/>
        <v>0</v>
      </c>
      <c r="AG261" s="249"/>
      <c r="AH261" s="249"/>
      <c r="AI261" s="250">
        <f t="shared" si="114"/>
        <v>0</v>
      </c>
      <c r="AJ261" s="249"/>
      <c r="AK261" s="249"/>
      <c r="AL261" s="250">
        <f t="shared" si="115"/>
        <v>0</v>
      </c>
      <c r="AM261" s="249"/>
      <c r="AN261" s="249"/>
      <c r="AO261" s="250">
        <f t="shared" si="116"/>
        <v>0</v>
      </c>
      <c r="AP261" s="249"/>
      <c r="AQ261" s="249"/>
      <c r="AR261" s="250">
        <f t="shared" si="117"/>
        <v>0</v>
      </c>
      <c r="AS261" s="249"/>
      <c r="AT261" s="249"/>
      <c r="AU261" s="250">
        <f t="shared" si="118"/>
        <v>0</v>
      </c>
      <c r="AV261" s="249"/>
      <c r="AW261" s="249"/>
      <c r="AX261" s="250">
        <f t="shared" si="119"/>
        <v>0</v>
      </c>
      <c r="AY261" s="249"/>
      <c r="AZ261" s="249"/>
      <c r="BA261" s="250">
        <f t="shared" si="120"/>
        <v>0</v>
      </c>
      <c r="BB261" s="249"/>
      <c r="BC261" s="249"/>
      <c r="BD261" s="250">
        <f t="shared" si="121"/>
        <v>0</v>
      </c>
    </row>
    <row r="262" spans="1:56">
      <c r="A262" s="251"/>
      <c r="B262" s="259" t="s">
        <v>388</v>
      </c>
      <c r="C262" s="249">
        <v>4804</v>
      </c>
      <c r="D262" s="249">
        <v>4952</v>
      </c>
      <c r="E262" s="508">
        <f t="shared" si="130"/>
        <v>3.0807660283097418</v>
      </c>
      <c r="F262" s="249">
        <v>10370</v>
      </c>
      <c r="G262" s="249">
        <v>10684</v>
      </c>
      <c r="H262" s="437">
        <f t="shared" si="131"/>
        <v>3.0279652844744454</v>
      </c>
      <c r="I262" s="249">
        <v>5240</v>
      </c>
      <c r="J262" s="249">
        <v>5400</v>
      </c>
      <c r="K262" s="437">
        <f t="shared" si="132"/>
        <v>3.0534351145038165</v>
      </c>
      <c r="L262" s="249">
        <v>11430</v>
      </c>
      <c r="M262" s="249">
        <v>11776</v>
      </c>
      <c r="N262" s="250">
        <f t="shared" si="133"/>
        <v>3.0271216097987752</v>
      </c>
      <c r="O262" s="249"/>
      <c r="P262" s="249"/>
      <c r="Q262" s="250">
        <f t="shared" si="108"/>
        <v>0</v>
      </c>
      <c r="R262" s="249"/>
      <c r="S262" s="249"/>
      <c r="T262" s="250">
        <f t="shared" si="109"/>
        <v>0</v>
      </c>
      <c r="U262" s="249"/>
      <c r="V262" s="249"/>
      <c r="W262" s="250">
        <f t="shared" si="110"/>
        <v>0</v>
      </c>
      <c r="X262" s="249"/>
      <c r="Y262" s="249"/>
      <c r="Z262" s="250">
        <f t="shared" si="111"/>
        <v>0</v>
      </c>
      <c r="AA262" s="249"/>
      <c r="AB262" s="249"/>
      <c r="AC262" s="250">
        <f t="shared" si="112"/>
        <v>0</v>
      </c>
      <c r="AD262" s="249"/>
      <c r="AE262" s="249"/>
      <c r="AF262" s="250">
        <f t="shared" si="113"/>
        <v>0</v>
      </c>
      <c r="AG262" s="249"/>
      <c r="AH262" s="249"/>
      <c r="AI262" s="250">
        <f t="shared" si="114"/>
        <v>0</v>
      </c>
      <c r="AJ262" s="249"/>
      <c r="AK262" s="249"/>
      <c r="AL262" s="250">
        <f t="shared" si="115"/>
        <v>0</v>
      </c>
      <c r="AM262" s="249"/>
      <c r="AN262" s="249"/>
      <c r="AO262" s="250">
        <f t="shared" si="116"/>
        <v>0</v>
      </c>
      <c r="AP262" s="249"/>
      <c r="AQ262" s="249"/>
      <c r="AR262" s="250">
        <f t="shared" si="117"/>
        <v>0</v>
      </c>
      <c r="AS262" s="249"/>
      <c r="AT262" s="249"/>
      <c r="AU262" s="250">
        <f t="shared" si="118"/>
        <v>0</v>
      </c>
      <c r="AV262" s="249"/>
      <c r="AW262" s="249"/>
      <c r="AX262" s="250">
        <f t="shared" si="119"/>
        <v>0</v>
      </c>
      <c r="AY262" s="249"/>
      <c r="AZ262" s="249"/>
      <c r="BA262" s="250">
        <f t="shared" si="120"/>
        <v>0</v>
      </c>
      <c r="BB262" s="249"/>
      <c r="BC262" s="249"/>
      <c r="BD262" s="250">
        <f t="shared" si="121"/>
        <v>0</v>
      </c>
    </row>
    <row r="263" spans="1:56">
      <c r="A263" s="251"/>
      <c r="B263" s="259" t="s">
        <v>389</v>
      </c>
      <c r="C263" s="249">
        <v>4486</v>
      </c>
      <c r="D263" s="249">
        <v>4888</v>
      </c>
      <c r="E263" s="508">
        <f t="shared" si="130"/>
        <v>8.9612126616139101</v>
      </c>
      <c r="F263" s="249">
        <v>10738</v>
      </c>
      <c r="G263" s="249">
        <v>11702</v>
      </c>
      <c r="H263" s="437">
        <f t="shared" si="131"/>
        <v>8.9774632147513511</v>
      </c>
      <c r="I263" s="249">
        <v>4990</v>
      </c>
      <c r="J263" s="249">
        <v>5108</v>
      </c>
      <c r="K263" s="437">
        <f t="shared" si="132"/>
        <v>2.3647294589178358</v>
      </c>
      <c r="L263" s="249">
        <v>10078</v>
      </c>
      <c r="M263" s="249">
        <v>7920</v>
      </c>
      <c r="N263" s="466">
        <f t="shared" si="133"/>
        <v>-21.4129787656281</v>
      </c>
      <c r="O263" s="249"/>
      <c r="P263" s="249"/>
      <c r="Q263" s="250">
        <f t="shared" si="108"/>
        <v>0</v>
      </c>
      <c r="R263" s="249"/>
      <c r="S263" s="249"/>
      <c r="T263" s="250">
        <f t="shared" si="109"/>
        <v>0</v>
      </c>
      <c r="U263" s="249"/>
      <c r="V263" s="249"/>
      <c r="W263" s="250">
        <f t="shared" si="110"/>
        <v>0</v>
      </c>
      <c r="X263" s="249"/>
      <c r="Y263" s="249"/>
      <c r="Z263" s="250">
        <f t="shared" si="111"/>
        <v>0</v>
      </c>
      <c r="AA263" s="249"/>
      <c r="AB263" s="249"/>
      <c r="AC263" s="250">
        <f t="shared" si="112"/>
        <v>0</v>
      </c>
      <c r="AD263" s="249"/>
      <c r="AE263" s="249"/>
      <c r="AF263" s="250">
        <f t="shared" si="113"/>
        <v>0</v>
      </c>
      <c r="AG263" s="249"/>
      <c r="AH263" s="249"/>
      <c r="AI263" s="250">
        <f t="shared" si="114"/>
        <v>0</v>
      </c>
      <c r="AJ263" s="249"/>
      <c r="AK263" s="249"/>
      <c r="AL263" s="250">
        <f t="shared" si="115"/>
        <v>0</v>
      </c>
      <c r="AM263" s="249"/>
      <c r="AN263" s="249"/>
      <c r="AO263" s="250">
        <f t="shared" si="116"/>
        <v>0</v>
      </c>
      <c r="AP263" s="249"/>
      <c r="AQ263" s="249"/>
      <c r="AR263" s="250">
        <f t="shared" si="117"/>
        <v>0</v>
      </c>
      <c r="AS263" s="249"/>
      <c r="AT263" s="249"/>
      <c r="AU263" s="250">
        <f t="shared" si="118"/>
        <v>0</v>
      </c>
      <c r="AV263" s="249"/>
      <c r="AW263" s="249"/>
      <c r="AX263" s="250">
        <f t="shared" si="119"/>
        <v>0</v>
      </c>
      <c r="AY263" s="249"/>
      <c r="AZ263" s="249"/>
      <c r="BA263" s="250">
        <f t="shared" si="120"/>
        <v>0</v>
      </c>
      <c r="BB263" s="249"/>
      <c r="BC263" s="249"/>
      <c r="BD263" s="250">
        <f t="shared" si="121"/>
        <v>0</v>
      </c>
    </row>
    <row r="264" spans="1:56" s="255" customFormat="1" ht="19.5" customHeight="1">
      <c r="A264" s="252"/>
      <c r="B264" s="431" t="s">
        <v>221</v>
      </c>
      <c r="C264" s="425">
        <v>4691</v>
      </c>
      <c r="D264" s="425">
        <v>4963</v>
      </c>
      <c r="E264" s="509">
        <f t="shared" si="130"/>
        <v>5.798337241526327</v>
      </c>
      <c r="F264" s="425">
        <v>10817</v>
      </c>
      <c r="G264" s="425">
        <v>11826</v>
      </c>
      <c r="H264" s="438">
        <f t="shared" si="131"/>
        <v>9.3279097716557278</v>
      </c>
      <c r="I264" s="425">
        <v>5160</v>
      </c>
      <c r="J264" s="425">
        <v>5374</v>
      </c>
      <c r="K264" s="438">
        <f t="shared" si="132"/>
        <v>4.1472868217054266</v>
      </c>
      <c r="L264" s="425">
        <v>11510</v>
      </c>
      <c r="M264" s="425">
        <v>10585</v>
      </c>
      <c r="N264" s="421">
        <f t="shared" si="133"/>
        <v>-8.0364900086880979</v>
      </c>
      <c r="O264" s="425"/>
      <c r="P264" s="425"/>
      <c r="Q264" s="421">
        <f t="shared" si="108"/>
        <v>0</v>
      </c>
      <c r="R264" s="425"/>
      <c r="S264" s="425"/>
      <c r="T264" s="421">
        <f t="shared" si="109"/>
        <v>0</v>
      </c>
      <c r="U264" s="425"/>
      <c r="V264" s="425"/>
      <c r="W264" s="421">
        <f t="shared" si="110"/>
        <v>0</v>
      </c>
      <c r="X264" s="425"/>
      <c r="Y264" s="425"/>
      <c r="Z264" s="421">
        <f t="shared" si="111"/>
        <v>0</v>
      </c>
      <c r="AA264" s="425"/>
      <c r="AB264" s="425"/>
      <c r="AC264" s="421">
        <f t="shared" si="112"/>
        <v>0</v>
      </c>
      <c r="AD264" s="425"/>
      <c r="AE264" s="425"/>
      <c r="AF264" s="421">
        <f t="shared" si="113"/>
        <v>0</v>
      </c>
      <c r="AG264" s="425"/>
      <c r="AH264" s="425"/>
      <c r="AI264" s="421">
        <f t="shared" si="114"/>
        <v>0</v>
      </c>
      <c r="AJ264" s="425"/>
      <c r="AK264" s="425"/>
      <c r="AL264" s="421">
        <f t="shared" si="115"/>
        <v>0</v>
      </c>
      <c r="AM264" s="425"/>
      <c r="AN264" s="425"/>
      <c r="AO264" s="421">
        <f t="shared" si="116"/>
        <v>0</v>
      </c>
      <c r="AP264" s="425"/>
      <c r="AQ264" s="425"/>
      <c r="AR264" s="421">
        <f t="shared" si="117"/>
        <v>0</v>
      </c>
      <c r="AS264" s="425"/>
      <c r="AT264" s="425"/>
      <c r="AU264" s="421">
        <f t="shared" si="118"/>
        <v>0</v>
      </c>
      <c r="AV264" s="425"/>
      <c r="AW264" s="425"/>
      <c r="AX264" s="421">
        <f t="shared" si="119"/>
        <v>0</v>
      </c>
      <c r="AY264" s="425"/>
      <c r="AZ264" s="425"/>
      <c r="BA264" s="421">
        <f t="shared" si="120"/>
        <v>0</v>
      </c>
      <c r="BB264" s="425"/>
      <c r="BC264" s="425"/>
      <c r="BD264" s="421">
        <f t="shared" si="121"/>
        <v>0</v>
      </c>
    </row>
    <row r="265" spans="1:56">
      <c r="A265" s="251"/>
      <c r="B265" s="259" t="s">
        <v>390</v>
      </c>
      <c r="C265" s="249">
        <v>2319</v>
      </c>
      <c r="D265" s="249">
        <v>2481</v>
      </c>
      <c r="E265" s="508">
        <f t="shared" si="130"/>
        <v>6.985769728331177</v>
      </c>
      <c r="F265" s="249">
        <v>7720</v>
      </c>
      <c r="G265" s="249">
        <v>8046.5</v>
      </c>
      <c r="H265" s="437">
        <f t="shared" si="131"/>
        <v>4.2292746113989637</v>
      </c>
      <c r="I265" s="249"/>
      <c r="J265" s="249"/>
      <c r="K265" s="437">
        <f t="shared" si="132"/>
        <v>0</v>
      </c>
      <c r="L265" s="249"/>
      <c r="M265" s="249"/>
      <c r="N265" s="250">
        <f t="shared" si="133"/>
        <v>0</v>
      </c>
      <c r="O265" s="249"/>
      <c r="P265" s="249"/>
      <c r="Q265" s="250">
        <f t="shared" si="108"/>
        <v>0</v>
      </c>
      <c r="R265" s="249"/>
      <c r="S265" s="249"/>
      <c r="T265" s="250">
        <f t="shared" si="109"/>
        <v>0</v>
      </c>
      <c r="U265" s="249"/>
      <c r="V265" s="249"/>
      <c r="W265" s="250">
        <f t="shared" si="110"/>
        <v>0</v>
      </c>
      <c r="X265" s="249"/>
      <c r="Y265" s="249"/>
      <c r="Z265" s="250">
        <f t="shared" si="111"/>
        <v>0</v>
      </c>
      <c r="AA265" s="249"/>
      <c r="AB265" s="249"/>
      <c r="AC265" s="250">
        <f t="shared" si="112"/>
        <v>0</v>
      </c>
      <c r="AD265" s="249"/>
      <c r="AE265" s="249"/>
      <c r="AF265" s="250">
        <f t="shared" si="113"/>
        <v>0</v>
      </c>
      <c r="AG265" s="249"/>
      <c r="AH265" s="249"/>
      <c r="AI265" s="250">
        <f t="shared" si="114"/>
        <v>0</v>
      </c>
      <c r="AJ265" s="249"/>
      <c r="AK265" s="249"/>
      <c r="AL265" s="250">
        <f t="shared" si="115"/>
        <v>0</v>
      </c>
      <c r="AM265" s="249"/>
      <c r="AN265" s="249"/>
      <c r="AO265" s="250">
        <f t="shared" si="116"/>
        <v>0</v>
      </c>
      <c r="AP265" s="249"/>
      <c r="AQ265" s="249"/>
      <c r="AR265" s="250">
        <f t="shared" si="117"/>
        <v>0</v>
      </c>
      <c r="AS265" s="249"/>
      <c r="AT265" s="249"/>
      <c r="AU265" s="250">
        <f t="shared" si="118"/>
        <v>0</v>
      </c>
      <c r="AV265" s="249"/>
      <c r="AW265" s="249"/>
      <c r="AX265" s="250">
        <f t="shared" si="119"/>
        <v>0</v>
      </c>
      <c r="AY265" s="249"/>
      <c r="AZ265" s="249"/>
      <c r="BA265" s="250">
        <f t="shared" si="120"/>
        <v>0</v>
      </c>
      <c r="BB265" s="249"/>
      <c r="BC265" s="249"/>
      <c r="BD265" s="250">
        <f t="shared" si="121"/>
        <v>0</v>
      </c>
    </row>
    <row r="266" spans="1:56">
      <c r="A266" s="251"/>
      <c r="B266" s="259" t="s">
        <v>391</v>
      </c>
      <c r="C266" s="249"/>
      <c r="D266" s="249"/>
      <c r="E266" s="508">
        <f t="shared" si="130"/>
        <v>0</v>
      </c>
      <c r="F266" s="249"/>
      <c r="G266" s="249"/>
      <c r="H266" s="437">
        <f t="shared" si="131"/>
        <v>0</v>
      </c>
      <c r="I266" s="249"/>
      <c r="J266" s="249"/>
      <c r="K266" s="437">
        <f t="shared" si="132"/>
        <v>0</v>
      </c>
      <c r="L266" s="249"/>
      <c r="M266" s="249"/>
      <c r="N266" s="250">
        <f t="shared" si="133"/>
        <v>0</v>
      </c>
      <c r="O266" s="249"/>
      <c r="P266" s="249"/>
      <c r="Q266" s="250">
        <f t="shared" si="108"/>
        <v>0</v>
      </c>
      <c r="R266" s="249"/>
      <c r="S266" s="249"/>
      <c r="T266" s="250">
        <f t="shared" si="109"/>
        <v>0</v>
      </c>
      <c r="U266" s="249"/>
      <c r="V266" s="249"/>
      <c r="W266" s="250">
        <f t="shared" si="110"/>
        <v>0</v>
      </c>
      <c r="X266" s="249"/>
      <c r="Y266" s="249"/>
      <c r="Z266" s="250">
        <f t="shared" si="111"/>
        <v>0</v>
      </c>
      <c r="AA266" s="249"/>
      <c r="AB266" s="249"/>
      <c r="AC266" s="250">
        <f t="shared" si="112"/>
        <v>0</v>
      </c>
      <c r="AD266" s="249"/>
      <c r="AE266" s="249"/>
      <c r="AF266" s="250">
        <f t="shared" si="113"/>
        <v>0</v>
      </c>
      <c r="AG266" s="249"/>
      <c r="AH266" s="249"/>
      <c r="AI266" s="250">
        <f t="shared" si="114"/>
        <v>0</v>
      </c>
      <c r="AJ266" s="249"/>
      <c r="AK266" s="249"/>
      <c r="AL266" s="250">
        <f t="shared" si="115"/>
        <v>0</v>
      </c>
      <c r="AM266" s="249"/>
      <c r="AN266" s="249"/>
      <c r="AO266" s="250">
        <f t="shared" si="116"/>
        <v>0</v>
      </c>
      <c r="AP266" s="249"/>
      <c r="AQ266" s="249"/>
      <c r="AR266" s="250">
        <f t="shared" si="117"/>
        <v>0</v>
      </c>
      <c r="AS266" s="249"/>
      <c r="AT266" s="249"/>
      <c r="AU266" s="250">
        <f t="shared" si="118"/>
        <v>0</v>
      </c>
      <c r="AV266" s="249"/>
      <c r="AW266" s="249"/>
      <c r="AX266" s="250">
        <f t="shared" si="119"/>
        <v>0</v>
      </c>
      <c r="AY266" s="249"/>
      <c r="AZ266" s="249"/>
      <c r="BA266" s="250">
        <f t="shared" si="120"/>
        <v>0</v>
      </c>
      <c r="BB266" s="249"/>
      <c r="BC266" s="249"/>
      <c r="BD266" s="250">
        <f t="shared" si="121"/>
        <v>0</v>
      </c>
    </row>
    <row r="267" spans="1:56">
      <c r="A267" s="251"/>
      <c r="B267" s="259" t="s">
        <v>392</v>
      </c>
      <c r="C267" s="249"/>
      <c r="D267" s="249"/>
      <c r="E267" s="508">
        <f t="shared" si="130"/>
        <v>0</v>
      </c>
      <c r="F267" s="249"/>
      <c r="G267" s="249"/>
      <c r="H267" s="437">
        <f t="shared" si="131"/>
        <v>0</v>
      </c>
      <c r="I267" s="249"/>
      <c r="J267" s="249"/>
      <c r="K267" s="437">
        <f t="shared" si="132"/>
        <v>0</v>
      </c>
      <c r="L267" s="249"/>
      <c r="M267" s="249"/>
      <c r="N267" s="250">
        <f t="shared" si="133"/>
        <v>0</v>
      </c>
      <c r="O267" s="249"/>
      <c r="P267" s="249"/>
      <c r="Q267" s="250">
        <f t="shared" si="108"/>
        <v>0</v>
      </c>
      <c r="R267" s="249"/>
      <c r="S267" s="249"/>
      <c r="T267" s="250">
        <f t="shared" si="109"/>
        <v>0</v>
      </c>
      <c r="U267" s="249"/>
      <c r="V267" s="249"/>
      <c r="W267" s="250">
        <f t="shared" si="110"/>
        <v>0</v>
      </c>
      <c r="X267" s="249"/>
      <c r="Y267" s="249"/>
      <c r="Z267" s="250">
        <f t="shared" si="111"/>
        <v>0</v>
      </c>
      <c r="AA267" s="249"/>
      <c r="AB267" s="249"/>
      <c r="AC267" s="250">
        <f t="shared" si="112"/>
        <v>0</v>
      </c>
      <c r="AD267" s="249"/>
      <c r="AE267" s="249"/>
      <c r="AF267" s="250">
        <f t="shared" si="113"/>
        <v>0</v>
      </c>
      <c r="AG267" s="249"/>
      <c r="AH267" s="249"/>
      <c r="AI267" s="250">
        <f t="shared" si="114"/>
        <v>0</v>
      </c>
      <c r="AJ267" s="249"/>
      <c r="AK267" s="249"/>
      <c r="AL267" s="250">
        <f t="shared" si="115"/>
        <v>0</v>
      </c>
      <c r="AM267" s="249"/>
      <c r="AN267" s="249"/>
      <c r="AO267" s="250">
        <f t="shared" si="116"/>
        <v>0</v>
      </c>
      <c r="AP267" s="249"/>
      <c r="AQ267" s="249"/>
      <c r="AR267" s="250">
        <f t="shared" si="117"/>
        <v>0</v>
      </c>
      <c r="AS267" s="249"/>
      <c r="AT267" s="249"/>
      <c r="AU267" s="250">
        <f t="shared" si="118"/>
        <v>0</v>
      </c>
      <c r="AV267" s="249"/>
      <c r="AW267" s="249"/>
      <c r="AX267" s="250">
        <f t="shared" si="119"/>
        <v>0</v>
      </c>
      <c r="AY267" s="249"/>
      <c r="AZ267" s="249"/>
      <c r="BA267" s="250">
        <f t="shared" si="120"/>
        <v>0</v>
      </c>
      <c r="BB267" s="249"/>
      <c r="BC267" s="249"/>
      <c r="BD267" s="250">
        <f t="shared" si="121"/>
        <v>0</v>
      </c>
    </row>
    <row r="268" spans="1:56">
      <c r="A268" s="251"/>
      <c r="B268" s="259" t="s">
        <v>196</v>
      </c>
      <c r="C268" s="249">
        <v>2856</v>
      </c>
      <c r="D268" s="249">
        <v>2878</v>
      </c>
      <c r="E268" s="508">
        <f t="shared" si="130"/>
        <v>0.77030812324929976</v>
      </c>
      <c r="F268" s="249">
        <v>6912</v>
      </c>
      <c r="G268" s="249">
        <v>7240</v>
      </c>
      <c r="H268" s="437">
        <f t="shared" si="131"/>
        <v>4.7453703703703702</v>
      </c>
      <c r="I268" s="249"/>
      <c r="J268" s="249"/>
      <c r="K268" s="437">
        <f t="shared" si="132"/>
        <v>0</v>
      </c>
      <c r="L268" s="249"/>
      <c r="M268" s="249"/>
      <c r="N268" s="250">
        <f t="shared" si="133"/>
        <v>0</v>
      </c>
      <c r="O268" s="249"/>
      <c r="P268" s="249"/>
      <c r="Q268" s="250">
        <f t="shared" si="108"/>
        <v>0</v>
      </c>
      <c r="R268" s="249"/>
      <c r="S268" s="249"/>
      <c r="T268" s="250">
        <f t="shared" si="109"/>
        <v>0</v>
      </c>
      <c r="U268" s="249"/>
      <c r="V268" s="249"/>
      <c r="W268" s="250">
        <f t="shared" si="110"/>
        <v>0</v>
      </c>
      <c r="X268" s="249"/>
      <c r="Y268" s="249"/>
      <c r="Z268" s="250">
        <f t="shared" si="111"/>
        <v>0</v>
      </c>
      <c r="AA268" s="249"/>
      <c r="AB268" s="249"/>
      <c r="AC268" s="250">
        <f t="shared" si="112"/>
        <v>0</v>
      </c>
      <c r="AD268" s="249"/>
      <c r="AE268" s="249"/>
      <c r="AF268" s="250">
        <f t="shared" si="113"/>
        <v>0</v>
      </c>
      <c r="AG268" s="249"/>
      <c r="AH268" s="249"/>
      <c r="AI268" s="250">
        <f t="shared" si="114"/>
        <v>0</v>
      </c>
      <c r="AJ268" s="249"/>
      <c r="AK268" s="249"/>
      <c r="AL268" s="250">
        <f t="shared" si="115"/>
        <v>0</v>
      </c>
      <c r="AM268" s="249"/>
      <c r="AN268" s="249"/>
      <c r="AO268" s="250">
        <f t="shared" si="116"/>
        <v>0</v>
      </c>
      <c r="AP268" s="249"/>
      <c r="AQ268" s="249"/>
      <c r="AR268" s="250">
        <f t="shared" si="117"/>
        <v>0</v>
      </c>
      <c r="AS268" s="249"/>
      <c r="AT268" s="249"/>
      <c r="AU268" s="250">
        <f t="shared" si="118"/>
        <v>0</v>
      </c>
      <c r="AV268" s="249"/>
      <c r="AW268" s="249"/>
      <c r="AX268" s="250">
        <f t="shared" si="119"/>
        <v>0</v>
      </c>
      <c r="AY268" s="249"/>
      <c r="AZ268" s="249"/>
      <c r="BA268" s="250">
        <f t="shared" si="120"/>
        <v>0</v>
      </c>
      <c r="BB268" s="249"/>
      <c r="BC268" s="249"/>
      <c r="BD268" s="250">
        <f t="shared" si="121"/>
        <v>0</v>
      </c>
    </row>
    <row r="269" spans="1:56" s="255" customFormat="1" ht="20.25" customHeight="1">
      <c r="A269" s="252"/>
      <c r="B269" s="427" t="s">
        <v>550</v>
      </c>
      <c r="C269" s="253">
        <v>2748</v>
      </c>
      <c r="D269" s="253">
        <v>2878</v>
      </c>
      <c r="E269" s="511">
        <f t="shared" si="130"/>
        <v>4.7307132459970891</v>
      </c>
      <c r="F269" s="253">
        <v>6912</v>
      </c>
      <c r="G269" s="253">
        <v>7347</v>
      </c>
      <c r="H269" s="440">
        <f t="shared" si="131"/>
        <v>6.2934027777777777</v>
      </c>
      <c r="I269" s="253"/>
      <c r="J269" s="253"/>
      <c r="K269" s="440">
        <f t="shared" si="132"/>
        <v>0</v>
      </c>
      <c r="L269" s="253"/>
      <c r="M269" s="253"/>
      <c r="N269" s="254">
        <f t="shared" si="133"/>
        <v>0</v>
      </c>
      <c r="O269" s="253"/>
      <c r="P269" s="253"/>
      <c r="Q269" s="254">
        <f t="shared" si="108"/>
        <v>0</v>
      </c>
      <c r="R269" s="253"/>
      <c r="S269" s="253"/>
      <c r="T269" s="254">
        <f t="shared" si="109"/>
        <v>0</v>
      </c>
      <c r="U269" s="253"/>
      <c r="V269" s="253"/>
      <c r="W269" s="254">
        <f t="shared" si="110"/>
        <v>0</v>
      </c>
      <c r="X269" s="253"/>
      <c r="Y269" s="253"/>
      <c r="Z269" s="254">
        <f t="shared" si="111"/>
        <v>0</v>
      </c>
      <c r="AA269" s="253"/>
      <c r="AB269" s="253"/>
      <c r="AC269" s="254">
        <f t="shared" si="112"/>
        <v>0</v>
      </c>
      <c r="AD269" s="253"/>
      <c r="AE269" s="253"/>
      <c r="AF269" s="254">
        <f t="shared" si="113"/>
        <v>0</v>
      </c>
      <c r="AG269" s="253"/>
      <c r="AH269" s="253"/>
      <c r="AI269" s="254">
        <f t="shared" si="114"/>
        <v>0</v>
      </c>
      <c r="AJ269" s="253"/>
      <c r="AK269" s="253"/>
      <c r="AL269" s="254">
        <f t="shared" si="115"/>
        <v>0</v>
      </c>
      <c r="AM269" s="253"/>
      <c r="AN269" s="253"/>
      <c r="AO269" s="254">
        <f t="shared" si="116"/>
        <v>0</v>
      </c>
      <c r="AP269" s="253"/>
      <c r="AQ269" s="253"/>
      <c r="AR269" s="254">
        <f t="shared" si="117"/>
        <v>0</v>
      </c>
      <c r="AS269" s="253"/>
      <c r="AT269" s="253"/>
      <c r="AU269" s="254">
        <f t="shared" si="118"/>
        <v>0</v>
      </c>
      <c r="AV269" s="253"/>
      <c r="AW269" s="253"/>
      <c r="AX269" s="254">
        <f t="shared" si="119"/>
        <v>0</v>
      </c>
      <c r="AY269" s="253"/>
      <c r="AZ269" s="253"/>
      <c r="BA269" s="254">
        <f t="shared" si="120"/>
        <v>0</v>
      </c>
      <c r="BB269" s="253"/>
      <c r="BC269" s="253"/>
      <c r="BD269" s="254">
        <f t="shared" si="121"/>
        <v>0</v>
      </c>
    </row>
    <row r="270" spans="1:56">
      <c r="A270" s="251"/>
      <c r="B270" s="259" t="s">
        <v>197</v>
      </c>
      <c r="C270" s="249"/>
      <c r="D270" s="249"/>
      <c r="E270" s="508">
        <f t="shared" si="130"/>
        <v>0</v>
      </c>
      <c r="F270" s="249"/>
      <c r="G270" s="249"/>
      <c r="H270" s="437">
        <f t="shared" si="131"/>
        <v>0</v>
      </c>
      <c r="I270" s="249"/>
      <c r="J270" s="249"/>
      <c r="K270" s="437">
        <f t="shared" si="132"/>
        <v>0</v>
      </c>
      <c r="L270" s="249"/>
      <c r="M270" s="249"/>
      <c r="N270" s="250">
        <f t="shared" si="133"/>
        <v>0</v>
      </c>
      <c r="O270" s="249"/>
      <c r="P270" s="249"/>
      <c r="Q270" s="250">
        <f t="shared" si="108"/>
        <v>0</v>
      </c>
      <c r="R270" s="249"/>
      <c r="S270" s="249"/>
      <c r="T270" s="250">
        <f t="shared" si="109"/>
        <v>0</v>
      </c>
      <c r="U270" s="249"/>
      <c r="V270" s="249"/>
      <c r="W270" s="250">
        <f t="shared" si="110"/>
        <v>0</v>
      </c>
      <c r="X270" s="249"/>
      <c r="Y270" s="249"/>
      <c r="Z270" s="250">
        <f t="shared" si="111"/>
        <v>0</v>
      </c>
      <c r="AA270" s="249"/>
      <c r="AB270" s="249"/>
      <c r="AC270" s="250">
        <f t="shared" si="112"/>
        <v>0</v>
      </c>
      <c r="AD270" s="249"/>
      <c r="AE270" s="249"/>
      <c r="AF270" s="250">
        <f t="shared" si="113"/>
        <v>0</v>
      </c>
      <c r="AG270" s="249"/>
      <c r="AH270" s="249"/>
      <c r="AI270" s="250">
        <f t="shared" si="114"/>
        <v>0</v>
      </c>
      <c r="AJ270" s="249"/>
      <c r="AK270" s="249"/>
      <c r="AL270" s="250">
        <f t="shared" si="115"/>
        <v>0</v>
      </c>
      <c r="AM270" s="249"/>
      <c r="AN270" s="249"/>
      <c r="AO270" s="250">
        <f t="shared" si="116"/>
        <v>0</v>
      </c>
      <c r="AP270" s="249"/>
      <c r="AQ270" s="249"/>
      <c r="AR270" s="250">
        <f t="shared" si="117"/>
        <v>0</v>
      </c>
      <c r="AS270" s="249"/>
      <c r="AT270" s="249"/>
      <c r="AU270" s="250">
        <f t="shared" si="118"/>
        <v>0</v>
      </c>
      <c r="AV270" s="249"/>
      <c r="AW270" s="249"/>
      <c r="AX270" s="250">
        <f t="shared" si="119"/>
        <v>0</v>
      </c>
      <c r="AY270" s="249"/>
      <c r="AZ270" s="249"/>
      <c r="BA270" s="250">
        <f t="shared" si="120"/>
        <v>0</v>
      </c>
      <c r="BB270" s="249"/>
      <c r="BC270" s="249"/>
      <c r="BD270" s="250">
        <f t="shared" si="121"/>
        <v>0</v>
      </c>
    </row>
    <row r="271" spans="1:56">
      <c r="A271" s="251"/>
      <c r="B271" s="259" t="s">
        <v>326</v>
      </c>
      <c r="C271" s="249"/>
      <c r="D271" s="249"/>
      <c r="E271" s="508">
        <f t="shared" si="130"/>
        <v>0</v>
      </c>
      <c r="F271" s="249"/>
      <c r="G271" s="249"/>
      <c r="H271" s="437">
        <f t="shared" si="131"/>
        <v>0</v>
      </c>
      <c r="I271" s="249"/>
      <c r="J271" s="249"/>
      <c r="K271" s="437">
        <f t="shared" si="132"/>
        <v>0</v>
      </c>
      <c r="L271" s="249"/>
      <c r="M271" s="249"/>
      <c r="N271" s="250">
        <f t="shared" si="133"/>
        <v>0</v>
      </c>
      <c r="O271" s="249"/>
      <c r="P271" s="249"/>
      <c r="Q271" s="250">
        <f t="shared" si="108"/>
        <v>0</v>
      </c>
      <c r="R271" s="249"/>
      <c r="S271" s="249"/>
      <c r="T271" s="250">
        <f t="shared" si="109"/>
        <v>0</v>
      </c>
      <c r="U271" s="249"/>
      <c r="V271" s="249"/>
      <c r="W271" s="250">
        <f t="shared" si="110"/>
        <v>0</v>
      </c>
      <c r="X271" s="249"/>
      <c r="Y271" s="249"/>
      <c r="Z271" s="250">
        <f t="shared" si="111"/>
        <v>0</v>
      </c>
      <c r="AA271" s="249"/>
      <c r="AB271" s="249"/>
      <c r="AC271" s="250">
        <f t="shared" si="112"/>
        <v>0</v>
      </c>
      <c r="AD271" s="249"/>
      <c r="AE271" s="249"/>
      <c r="AF271" s="250">
        <f t="shared" si="113"/>
        <v>0</v>
      </c>
      <c r="AG271" s="249"/>
      <c r="AH271" s="249"/>
      <c r="AI271" s="250">
        <f t="shared" si="114"/>
        <v>0</v>
      </c>
      <c r="AJ271" s="249"/>
      <c r="AK271" s="249"/>
      <c r="AL271" s="250">
        <f t="shared" si="115"/>
        <v>0</v>
      </c>
      <c r="AM271" s="249"/>
      <c r="AN271" s="249"/>
      <c r="AO271" s="250">
        <f t="shared" si="116"/>
        <v>0</v>
      </c>
      <c r="AP271" s="249"/>
      <c r="AQ271" s="249"/>
      <c r="AR271" s="250">
        <f t="shared" si="117"/>
        <v>0</v>
      </c>
      <c r="AS271" s="249"/>
      <c r="AT271" s="249"/>
      <c r="AU271" s="250">
        <f t="shared" si="118"/>
        <v>0</v>
      </c>
      <c r="AV271" s="249"/>
      <c r="AW271" s="249"/>
      <c r="AX271" s="250">
        <f t="shared" si="119"/>
        <v>0</v>
      </c>
      <c r="AY271" s="249"/>
      <c r="AZ271" s="249"/>
      <c r="BA271" s="250">
        <f t="shared" si="120"/>
        <v>0</v>
      </c>
      <c r="BB271" s="249"/>
      <c r="BC271" s="249"/>
      <c r="BD271" s="250">
        <f t="shared" si="121"/>
        <v>0</v>
      </c>
    </row>
    <row r="272" spans="1:56">
      <c r="A272" s="251"/>
      <c r="B272" s="259" t="s">
        <v>327</v>
      </c>
      <c r="C272" s="249"/>
      <c r="D272" s="249"/>
      <c r="E272" s="508"/>
      <c r="F272" s="249"/>
      <c r="G272" s="249"/>
      <c r="H272" s="437">
        <f t="shared" si="131"/>
        <v>0</v>
      </c>
      <c r="I272" s="249"/>
      <c r="J272" s="249"/>
      <c r="K272" s="437">
        <f t="shared" si="132"/>
        <v>0</v>
      </c>
      <c r="L272" s="249"/>
      <c r="M272" s="249"/>
      <c r="N272" s="250">
        <f t="shared" si="133"/>
        <v>0</v>
      </c>
      <c r="O272" s="249"/>
      <c r="P272" s="249"/>
      <c r="Q272" s="250">
        <f t="shared" si="108"/>
        <v>0</v>
      </c>
      <c r="R272" s="249"/>
      <c r="S272" s="249"/>
      <c r="T272" s="250">
        <f t="shared" si="109"/>
        <v>0</v>
      </c>
      <c r="U272" s="249"/>
      <c r="V272" s="249"/>
      <c r="W272" s="250">
        <f t="shared" si="110"/>
        <v>0</v>
      </c>
      <c r="X272" s="249"/>
      <c r="Y272" s="249"/>
      <c r="Z272" s="250">
        <f t="shared" si="111"/>
        <v>0</v>
      </c>
      <c r="AA272" s="249"/>
      <c r="AB272" s="249"/>
      <c r="AC272" s="250">
        <f t="shared" si="112"/>
        <v>0</v>
      </c>
      <c r="AD272" s="249"/>
      <c r="AE272" s="249"/>
      <c r="AF272" s="250">
        <f t="shared" si="113"/>
        <v>0</v>
      </c>
      <c r="AG272" s="249"/>
      <c r="AH272" s="249"/>
      <c r="AI272" s="250">
        <f t="shared" si="114"/>
        <v>0</v>
      </c>
      <c r="AJ272" s="249"/>
      <c r="AK272" s="249"/>
      <c r="AL272" s="250">
        <f t="shared" si="115"/>
        <v>0</v>
      </c>
      <c r="AM272" s="249"/>
      <c r="AN272" s="249"/>
      <c r="AO272" s="250">
        <f t="shared" si="116"/>
        <v>0</v>
      </c>
      <c r="AP272" s="249"/>
      <c r="AQ272" s="249"/>
      <c r="AR272" s="250">
        <f t="shared" si="117"/>
        <v>0</v>
      </c>
      <c r="AS272" s="249"/>
      <c r="AT272" s="249"/>
      <c r="AU272" s="250">
        <f t="shared" si="118"/>
        <v>0</v>
      </c>
      <c r="AV272" s="249"/>
      <c r="AW272" s="249"/>
      <c r="AX272" s="250">
        <f t="shared" si="119"/>
        <v>0</v>
      </c>
      <c r="AY272" s="249"/>
      <c r="AZ272" s="249"/>
      <c r="BA272" s="250">
        <f t="shared" si="120"/>
        <v>0</v>
      </c>
      <c r="BB272" s="249"/>
      <c r="BC272" s="249"/>
      <c r="BD272" s="250">
        <f t="shared" si="121"/>
        <v>0</v>
      </c>
    </row>
    <row r="273" spans="1:56" s="255" customFormat="1" ht="21.75" customHeight="1">
      <c r="A273" s="252"/>
      <c r="B273" s="427" t="s">
        <v>315</v>
      </c>
      <c r="C273" s="253"/>
      <c r="D273" s="253"/>
      <c r="E273" s="511">
        <f>IF(C273&gt;0,(((D273-C273)/C273)*100),0)</f>
        <v>0</v>
      </c>
      <c r="F273" s="253"/>
      <c r="G273" s="253"/>
      <c r="H273" s="440">
        <f t="shared" si="131"/>
        <v>0</v>
      </c>
      <c r="I273" s="253"/>
      <c r="J273" s="253"/>
      <c r="K273" s="440">
        <f t="shared" si="132"/>
        <v>0</v>
      </c>
      <c r="L273" s="253"/>
      <c r="M273" s="253"/>
      <c r="N273" s="254">
        <f t="shared" si="133"/>
        <v>0</v>
      </c>
      <c r="O273" s="253"/>
      <c r="P273" s="253"/>
      <c r="Q273" s="254">
        <f t="shared" si="108"/>
        <v>0</v>
      </c>
      <c r="R273" s="253"/>
      <c r="S273" s="253"/>
      <c r="T273" s="254">
        <f t="shared" si="109"/>
        <v>0</v>
      </c>
      <c r="U273" s="253"/>
      <c r="V273" s="253"/>
      <c r="W273" s="254">
        <f t="shared" si="110"/>
        <v>0</v>
      </c>
      <c r="X273" s="253"/>
      <c r="Y273" s="253"/>
      <c r="Z273" s="254">
        <f t="shared" si="111"/>
        <v>0</v>
      </c>
      <c r="AA273" s="253"/>
      <c r="AB273" s="253"/>
      <c r="AC273" s="254">
        <f t="shared" si="112"/>
        <v>0</v>
      </c>
      <c r="AD273" s="253"/>
      <c r="AE273" s="253"/>
      <c r="AF273" s="254">
        <f t="shared" si="113"/>
        <v>0</v>
      </c>
      <c r="AG273" s="253"/>
      <c r="AH273" s="253"/>
      <c r="AI273" s="254">
        <f t="shared" si="114"/>
        <v>0</v>
      </c>
      <c r="AJ273" s="253"/>
      <c r="AK273" s="253"/>
      <c r="AL273" s="254">
        <f t="shared" si="115"/>
        <v>0</v>
      </c>
      <c r="AM273" s="253"/>
      <c r="AN273" s="253"/>
      <c r="AO273" s="254">
        <f t="shared" si="116"/>
        <v>0</v>
      </c>
      <c r="AP273" s="253"/>
      <c r="AQ273" s="253"/>
      <c r="AR273" s="254">
        <f t="shared" si="117"/>
        <v>0</v>
      </c>
      <c r="AS273" s="253"/>
      <c r="AT273" s="253"/>
      <c r="AU273" s="254">
        <f t="shared" si="118"/>
        <v>0</v>
      </c>
      <c r="AV273" s="253"/>
      <c r="AW273" s="253"/>
      <c r="AX273" s="254">
        <f t="shared" si="119"/>
        <v>0</v>
      </c>
      <c r="AY273" s="253"/>
      <c r="AZ273" s="253"/>
      <c r="BA273" s="254">
        <f t="shared" si="120"/>
        <v>0</v>
      </c>
      <c r="BB273" s="253"/>
      <c r="BC273" s="253"/>
      <c r="BD273" s="254">
        <f t="shared" si="121"/>
        <v>0</v>
      </c>
    </row>
    <row r="274" spans="1:56">
      <c r="A274" s="256"/>
      <c r="B274" s="428" t="s">
        <v>198</v>
      </c>
      <c r="C274" s="257"/>
      <c r="D274" s="257"/>
      <c r="E274" s="510"/>
      <c r="F274" s="257"/>
      <c r="G274" s="257"/>
      <c r="H274" s="439"/>
      <c r="I274" s="257"/>
      <c r="J274" s="257"/>
      <c r="K274" s="439"/>
      <c r="L274" s="257"/>
      <c r="M274" s="257"/>
      <c r="N274" s="258"/>
      <c r="O274" s="257">
        <v>10644</v>
      </c>
      <c r="P274" s="257">
        <v>11072</v>
      </c>
      <c r="Q274" s="258">
        <f t="shared" si="108"/>
        <v>4.0210447200300639</v>
      </c>
      <c r="R274" s="257">
        <v>24010</v>
      </c>
      <c r="S274" s="257">
        <v>24970</v>
      </c>
      <c r="T274" s="258">
        <f t="shared" si="109"/>
        <v>3.9983340274885468</v>
      </c>
      <c r="U274" s="257">
        <v>18376</v>
      </c>
      <c r="V274" s="257">
        <v>19329</v>
      </c>
      <c r="W274" s="258">
        <f t="shared" si="110"/>
        <v>5.1861123204179362</v>
      </c>
      <c r="X274" s="257">
        <v>43069</v>
      </c>
      <c r="Y274" s="257">
        <v>45098</v>
      </c>
      <c r="Z274" s="258">
        <f t="shared" si="111"/>
        <v>4.7110450672177198</v>
      </c>
      <c r="AA274" s="257">
        <v>12754</v>
      </c>
      <c r="AB274" s="257">
        <v>13264</v>
      </c>
      <c r="AC274" s="258">
        <f t="shared" si="112"/>
        <v>3.9987454916104754</v>
      </c>
      <c r="AD274" s="257">
        <v>32656</v>
      </c>
      <c r="AE274" s="257">
        <v>33962</v>
      </c>
      <c r="AF274" s="258">
        <f t="shared" si="113"/>
        <v>3.999265066144047</v>
      </c>
      <c r="AG274" s="257">
        <v>10288</v>
      </c>
      <c r="AH274" s="257">
        <v>11216</v>
      </c>
      <c r="AI274" s="258">
        <f t="shared" si="114"/>
        <v>9.0202177293934671</v>
      </c>
      <c r="AJ274" s="257">
        <v>27074</v>
      </c>
      <c r="AK274" s="257">
        <v>28156</v>
      </c>
      <c r="AL274" s="258">
        <f t="shared" si="115"/>
        <v>3.9964541626652874</v>
      </c>
      <c r="AM274" s="257"/>
      <c r="AN274" s="257"/>
      <c r="AO274" s="258">
        <f t="shared" si="116"/>
        <v>0</v>
      </c>
      <c r="AP274" s="257"/>
      <c r="AQ274" s="257"/>
      <c r="AR274" s="258">
        <f t="shared" si="117"/>
        <v>0</v>
      </c>
      <c r="AS274" s="257">
        <v>20426</v>
      </c>
      <c r="AT274" s="257">
        <v>19950</v>
      </c>
      <c r="AU274" s="466">
        <f t="shared" si="118"/>
        <v>-2.3303632625085675</v>
      </c>
      <c r="AV274" s="257">
        <v>50546</v>
      </c>
      <c r="AW274" s="257">
        <v>49950</v>
      </c>
      <c r="AX274" s="466">
        <f t="shared" si="119"/>
        <v>-1.1791239662881334</v>
      </c>
      <c r="AY274" s="257"/>
      <c r="AZ274" s="257"/>
      <c r="BA274" s="258">
        <f t="shared" si="120"/>
        <v>0</v>
      </c>
      <c r="BB274" s="257"/>
      <c r="BC274" s="257"/>
      <c r="BD274" s="258">
        <f t="shared" si="121"/>
        <v>0</v>
      </c>
    </row>
    <row r="275" spans="1:56">
      <c r="A275" s="247" t="s">
        <v>222</v>
      </c>
      <c r="B275" s="259" t="s">
        <v>384</v>
      </c>
      <c r="C275" s="249">
        <v>6446.4500000000007</v>
      </c>
      <c r="D275" s="249">
        <v>7151</v>
      </c>
      <c r="E275" s="508">
        <f t="shared" ref="E275:E288" si="134">IF(C275&gt;0,(((D275-C275)/C275)*100),0)</f>
        <v>10.929271149237165</v>
      </c>
      <c r="F275" s="249">
        <v>18307</v>
      </c>
      <c r="G275" s="249">
        <v>19339</v>
      </c>
      <c r="H275" s="437">
        <f t="shared" ref="H275:H290" si="135">IF(F275&gt;0,(((G275-F275)/F275)*100),0)</f>
        <v>5.6371879608892774</v>
      </c>
      <c r="I275" s="249">
        <v>7210.6</v>
      </c>
      <c r="J275" s="249">
        <v>8043.52</v>
      </c>
      <c r="K275" s="437">
        <f t="shared" ref="K275:K290" si="136">IF(I275&gt;0,(((J275-I275)/I275)*100),0)</f>
        <v>11.551327212714616</v>
      </c>
      <c r="L275" s="249">
        <v>18151</v>
      </c>
      <c r="M275" s="249">
        <v>18982</v>
      </c>
      <c r="N275" s="250">
        <f t="shared" ref="N275:N290" si="137">IF(L275&gt;0,(((M275-L275)/L275)*100),0)</f>
        <v>4.5782601509558702</v>
      </c>
      <c r="O275" s="249"/>
      <c r="P275" s="249"/>
      <c r="Q275" s="250">
        <f t="shared" si="108"/>
        <v>0</v>
      </c>
      <c r="R275" s="249"/>
      <c r="S275" s="249"/>
      <c r="T275" s="250">
        <f t="shared" si="109"/>
        <v>0</v>
      </c>
      <c r="U275" s="249"/>
      <c r="V275" s="249"/>
      <c r="W275" s="250">
        <f t="shared" si="110"/>
        <v>0</v>
      </c>
      <c r="X275" s="249"/>
      <c r="Y275" s="249"/>
      <c r="Z275" s="250">
        <f t="shared" si="111"/>
        <v>0</v>
      </c>
      <c r="AA275" s="249"/>
      <c r="AB275" s="249"/>
      <c r="AC275" s="250">
        <f t="shared" si="112"/>
        <v>0</v>
      </c>
      <c r="AD275" s="249"/>
      <c r="AE275" s="249"/>
      <c r="AF275" s="250">
        <f t="shared" si="113"/>
        <v>0</v>
      </c>
      <c r="AG275" s="249"/>
      <c r="AH275" s="249"/>
      <c r="AI275" s="250">
        <f t="shared" si="114"/>
        <v>0</v>
      </c>
      <c r="AJ275" s="249"/>
      <c r="AK275" s="249"/>
      <c r="AL275" s="250">
        <f t="shared" si="115"/>
        <v>0</v>
      </c>
      <c r="AM275" s="249"/>
      <c r="AN275" s="249"/>
      <c r="AO275" s="250">
        <f t="shared" si="116"/>
        <v>0</v>
      </c>
      <c r="AP275" s="249"/>
      <c r="AQ275" s="249"/>
      <c r="AR275" s="250">
        <f t="shared" si="117"/>
        <v>0</v>
      </c>
      <c r="AS275" s="249"/>
      <c r="AT275" s="249"/>
      <c r="AU275" s="250">
        <f t="shared" si="118"/>
        <v>0</v>
      </c>
      <c r="AV275" s="249"/>
      <c r="AW275" s="249"/>
      <c r="AX275" s="250">
        <f t="shared" si="119"/>
        <v>0</v>
      </c>
      <c r="AY275" s="249"/>
      <c r="AZ275" s="249"/>
      <c r="BA275" s="250">
        <f t="shared" si="120"/>
        <v>0</v>
      </c>
      <c r="BB275" s="249"/>
      <c r="BC275" s="249"/>
      <c r="BD275" s="250">
        <f t="shared" si="121"/>
        <v>0</v>
      </c>
    </row>
    <row r="276" spans="1:56">
      <c r="A276" s="251"/>
      <c r="B276" s="259" t="s">
        <v>385</v>
      </c>
      <c r="C276" s="249">
        <v>5529.5</v>
      </c>
      <c r="D276" s="249">
        <v>5704.5</v>
      </c>
      <c r="E276" s="508">
        <f t="shared" si="134"/>
        <v>3.1648431142056248</v>
      </c>
      <c r="F276" s="249">
        <v>14531.5</v>
      </c>
      <c r="G276" s="249">
        <v>15333.5</v>
      </c>
      <c r="H276" s="437">
        <f t="shared" si="135"/>
        <v>5.5190448336372713</v>
      </c>
      <c r="I276" s="249">
        <v>6446.6</v>
      </c>
      <c r="J276" s="249">
        <v>6893.76</v>
      </c>
      <c r="K276" s="437">
        <f t="shared" si="136"/>
        <v>6.9363695591474555</v>
      </c>
      <c r="L276" s="249">
        <v>15351.5</v>
      </c>
      <c r="M276" s="249">
        <v>16076</v>
      </c>
      <c r="N276" s="250">
        <f t="shared" si="137"/>
        <v>4.7194085268540533</v>
      </c>
      <c r="O276" s="249"/>
      <c r="P276" s="249"/>
      <c r="Q276" s="250">
        <f t="shared" ref="Q276:Q291" si="138">IF(O276&gt;0,(((P276-O276)/O276)*100),0)</f>
        <v>0</v>
      </c>
      <c r="R276" s="249"/>
      <c r="S276" s="249"/>
      <c r="T276" s="250">
        <f t="shared" ref="T276:T291" si="139">IF(R276&gt;0,(((S276-R276)/R276)*100),0)</f>
        <v>0</v>
      </c>
      <c r="U276" s="249"/>
      <c r="V276" s="249"/>
      <c r="W276" s="250">
        <f t="shared" ref="W276:W291" si="140">IF(U276&gt;0,(((V276-U276)/U276)*100),0)</f>
        <v>0</v>
      </c>
      <c r="X276" s="249"/>
      <c r="Y276" s="249"/>
      <c r="Z276" s="250">
        <f t="shared" ref="Z276:Z291" si="141">IF(X276&gt;0,(((Y276-X276)/X276)*100),0)</f>
        <v>0</v>
      </c>
      <c r="AA276" s="249"/>
      <c r="AB276" s="249"/>
      <c r="AC276" s="250">
        <f t="shared" ref="AC276:AC291" si="142">IF(AA276&gt;0,(((AB276-AA276)/AA276)*100),0)</f>
        <v>0</v>
      </c>
      <c r="AD276" s="249"/>
      <c r="AE276" s="249"/>
      <c r="AF276" s="250">
        <f t="shared" ref="AF276:AF291" si="143">IF(AD276&gt;0,(((AE276-AD276)/AD276)*100),0)</f>
        <v>0</v>
      </c>
      <c r="AG276" s="249"/>
      <c r="AH276" s="249"/>
      <c r="AI276" s="250">
        <f t="shared" ref="AI276:AI291" si="144">IF(AG276&gt;0,(((AH276-AG276)/AG276)*100),0)</f>
        <v>0</v>
      </c>
      <c r="AJ276" s="249"/>
      <c r="AK276" s="249"/>
      <c r="AL276" s="250">
        <f t="shared" ref="AL276:AL291" si="145">IF(AJ276&gt;0,(((AK276-AJ276)/AJ276)*100),0)</f>
        <v>0</v>
      </c>
      <c r="AM276" s="249"/>
      <c r="AN276" s="249"/>
      <c r="AO276" s="250">
        <f t="shared" ref="AO276:AO291" si="146">IF(AM276&gt;0,(((AN276-AM276)/AM276)*100),0)</f>
        <v>0</v>
      </c>
      <c r="AP276" s="249"/>
      <c r="AQ276" s="249"/>
      <c r="AR276" s="250">
        <f t="shared" ref="AR276:AR291" si="147">IF(AP276&gt;0,(((AQ276-AP276)/AP276)*100),0)</f>
        <v>0</v>
      </c>
      <c r="AS276" s="249"/>
      <c r="AT276" s="249"/>
      <c r="AU276" s="250">
        <f t="shared" ref="AU276:AU291" si="148">IF(AS276&gt;0,(((AT276-AS276)/AS276)*100),0)</f>
        <v>0</v>
      </c>
      <c r="AV276" s="249"/>
      <c r="AW276" s="249"/>
      <c r="AX276" s="250">
        <f t="shared" ref="AX276:AX291" si="149">IF(AV276&gt;0,(((AW276-AV276)/AV276)*100),0)</f>
        <v>0</v>
      </c>
      <c r="AY276" s="249"/>
      <c r="AZ276" s="249"/>
      <c r="BA276" s="250">
        <f t="shared" ref="BA276:BA291" si="150">IF(AY276&gt;0,(((AZ276-AY276)/AY276)*100),0)</f>
        <v>0</v>
      </c>
      <c r="BB276" s="249"/>
      <c r="BC276" s="249"/>
      <c r="BD276" s="250">
        <f t="shared" ref="BD276:BD291" si="151">IF(BB276&gt;0,(((BC276-BB276)/BB276)*100),0)</f>
        <v>0</v>
      </c>
    </row>
    <row r="277" spans="1:56">
      <c r="A277" s="251"/>
      <c r="B277" s="259" t="s">
        <v>386</v>
      </c>
      <c r="C277" s="249">
        <v>5410</v>
      </c>
      <c r="D277" s="249">
        <v>5804</v>
      </c>
      <c r="E277" s="508">
        <f t="shared" si="134"/>
        <v>7.2828096118299452</v>
      </c>
      <c r="F277" s="249">
        <v>14250</v>
      </c>
      <c r="G277" s="249">
        <v>14838</v>
      </c>
      <c r="H277" s="437">
        <f t="shared" si="135"/>
        <v>4.1263157894736846</v>
      </c>
      <c r="I277" s="249">
        <v>5758</v>
      </c>
      <c r="J277" s="249">
        <v>6334</v>
      </c>
      <c r="K277" s="437">
        <f t="shared" si="136"/>
        <v>10.003473428273706</v>
      </c>
      <c r="L277" s="249">
        <v>13304</v>
      </c>
      <c r="M277" s="249">
        <v>13759</v>
      </c>
      <c r="N277" s="250">
        <f t="shared" si="137"/>
        <v>3.4200240529164163</v>
      </c>
      <c r="O277" s="249"/>
      <c r="P277" s="249"/>
      <c r="Q277" s="250">
        <f t="shared" si="138"/>
        <v>0</v>
      </c>
      <c r="R277" s="249"/>
      <c r="S277" s="249"/>
      <c r="T277" s="250">
        <f t="shared" si="139"/>
        <v>0</v>
      </c>
      <c r="U277" s="249"/>
      <c r="V277" s="249"/>
      <c r="W277" s="250">
        <f t="shared" si="140"/>
        <v>0</v>
      </c>
      <c r="X277" s="249"/>
      <c r="Y277" s="249"/>
      <c r="Z277" s="250">
        <f t="shared" si="141"/>
        <v>0</v>
      </c>
      <c r="AA277" s="249"/>
      <c r="AB277" s="249"/>
      <c r="AC277" s="250">
        <f t="shared" si="142"/>
        <v>0</v>
      </c>
      <c r="AD277" s="249"/>
      <c r="AE277" s="249"/>
      <c r="AF277" s="250">
        <f t="shared" si="143"/>
        <v>0</v>
      </c>
      <c r="AG277" s="249"/>
      <c r="AH277" s="249"/>
      <c r="AI277" s="250">
        <f t="shared" si="144"/>
        <v>0</v>
      </c>
      <c r="AJ277" s="249"/>
      <c r="AK277" s="249"/>
      <c r="AL277" s="250">
        <f t="shared" si="145"/>
        <v>0</v>
      </c>
      <c r="AM277" s="249"/>
      <c r="AN277" s="249"/>
      <c r="AO277" s="250">
        <f t="shared" si="146"/>
        <v>0</v>
      </c>
      <c r="AP277" s="249"/>
      <c r="AQ277" s="249"/>
      <c r="AR277" s="250">
        <f t="shared" si="147"/>
        <v>0</v>
      </c>
      <c r="AS277" s="249"/>
      <c r="AT277" s="249"/>
      <c r="AU277" s="250">
        <f t="shared" si="148"/>
        <v>0</v>
      </c>
      <c r="AV277" s="249"/>
      <c r="AW277" s="249"/>
      <c r="AX277" s="250">
        <f t="shared" si="149"/>
        <v>0</v>
      </c>
      <c r="AY277" s="249"/>
      <c r="AZ277" s="249"/>
      <c r="BA277" s="250">
        <f t="shared" si="150"/>
        <v>0</v>
      </c>
      <c r="BB277" s="249"/>
      <c r="BC277" s="249"/>
      <c r="BD277" s="250">
        <f t="shared" si="151"/>
        <v>0</v>
      </c>
    </row>
    <row r="278" spans="1:56">
      <c r="A278" s="251"/>
      <c r="B278" s="259" t="s">
        <v>387</v>
      </c>
      <c r="C278" s="249">
        <v>5433</v>
      </c>
      <c r="D278" s="249">
        <v>5611</v>
      </c>
      <c r="E278" s="508">
        <f t="shared" si="134"/>
        <v>3.2762746180747286</v>
      </c>
      <c r="F278" s="249">
        <v>13116</v>
      </c>
      <c r="G278" s="249">
        <v>13736</v>
      </c>
      <c r="H278" s="437">
        <f t="shared" si="135"/>
        <v>4.7270509301616341</v>
      </c>
      <c r="I278" s="249">
        <v>5454</v>
      </c>
      <c r="J278" s="249">
        <v>5800</v>
      </c>
      <c r="K278" s="437">
        <f t="shared" si="136"/>
        <v>6.3439677301063435</v>
      </c>
      <c r="L278" s="249">
        <v>12345.3</v>
      </c>
      <c r="M278" s="249">
        <v>12584.8</v>
      </c>
      <c r="N278" s="250">
        <f t="shared" si="137"/>
        <v>1.9400095582934398</v>
      </c>
      <c r="O278" s="249"/>
      <c r="P278" s="249"/>
      <c r="Q278" s="250">
        <f t="shared" si="138"/>
        <v>0</v>
      </c>
      <c r="R278" s="249"/>
      <c r="S278" s="249"/>
      <c r="T278" s="250">
        <f t="shared" si="139"/>
        <v>0</v>
      </c>
      <c r="U278" s="249"/>
      <c r="V278" s="249"/>
      <c r="W278" s="250">
        <f t="shared" si="140"/>
        <v>0</v>
      </c>
      <c r="X278" s="249"/>
      <c r="Y278" s="249"/>
      <c r="Z278" s="250">
        <f t="shared" si="141"/>
        <v>0</v>
      </c>
      <c r="AA278" s="249"/>
      <c r="AB278" s="249"/>
      <c r="AC278" s="250">
        <f t="shared" si="142"/>
        <v>0</v>
      </c>
      <c r="AD278" s="249"/>
      <c r="AE278" s="249"/>
      <c r="AF278" s="250">
        <f t="shared" si="143"/>
        <v>0</v>
      </c>
      <c r="AG278" s="249"/>
      <c r="AH278" s="249"/>
      <c r="AI278" s="250">
        <f t="shared" si="144"/>
        <v>0</v>
      </c>
      <c r="AJ278" s="249"/>
      <c r="AK278" s="249"/>
      <c r="AL278" s="250">
        <f t="shared" si="145"/>
        <v>0</v>
      </c>
      <c r="AM278" s="249"/>
      <c r="AN278" s="249"/>
      <c r="AO278" s="250">
        <f t="shared" si="146"/>
        <v>0</v>
      </c>
      <c r="AP278" s="249"/>
      <c r="AQ278" s="249"/>
      <c r="AR278" s="250">
        <f t="shared" si="147"/>
        <v>0</v>
      </c>
      <c r="AS278" s="249"/>
      <c r="AT278" s="249"/>
      <c r="AU278" s="250">
        <f t="shared" si="148"/>
        <v>0</v>
      </c>
      <c r="AV278" s="249"/>
      <c r="AW278" s="249"/>
      <c r="AX278" s="250">
        <f t="shared" si="149"/>
        <v>0</v>
      </c>
      <c r="AY278" s="249"/>
      <c r="AZ278" s="249"/>
      <c r="BA278" s="250">
        <f t="shared" si="150"/>
        <v>0</v>
      </c>
      <c r="BB278" s="249"/>
      <c r="BC278" s="249"/>
      <c r="BD278" s="250">
        <f t="shared" si="151"/>
        <v>0</v>
      </c>
    </row>
    <row r="279" spans="1:56">
      <c r="A279" s="251"/>
      <c r="B279" s="259" t="s">
        <v>388</v>
      </c>
      <c r="C279" s="249">
        <v>4600</v>
      </c>
      <c r="D279" s="249">
        <v>5087</v>
      </c>
      <c r="E279" s="508">
        <f t="shared" si="134"/>
        <v>10.586956521739129</v>
      </c>
      <c r="F279" s="249">
        <v>12936</v>
      </c>
      <c r="G279" s="249">
        <v>13550</v>
      </c>
      <c r="H279" s="437">
        <f t="shared" si="135"/>
        <v>4.7464440321583181</v>
      </c>
      <c r="I279" s="249">
        <v>4476.5</v>
      </c>
      <c r="J279" s="249">
        <v>4908</v>
      </c>
      <c r="K279" s="437">
        <f t="shared" si="136"/>
        <v>9.6392270747235571</v>
      </c>
      <c r="L279" s="249">
        <v>11559</v>
      </c>
      <c r="M279" s="249">
        <v>11965.625</v>
      </c>
      <c r="N279" s="250">
        <f t="shared" si="137"/>
        <v>3.5178216108659921</v>
      </c>
      <c r="O279" s="249"/>
      <c r="P279" s="249"/>
      <c r="Q279" s="250">
        <f t="shared" si="138"/>
        <v>0</v>
      </c>
      <c r="R279" s="249"/>
      <c r="S279" s="249"/>
      <c r="T279" s="250">
        <f t="shared" si="139"/>
        <v>0</v>
      </c>
      <c r="U279" s="249"/>
      <c r="V279" s="249"/>
      <c r="W279" s="250">
        <f t="shared" si="140"/>
        <v>0</v>
      </c>
      <c r="X279" s="249"/>
      <c r="Y279" s="249"/>
      <c r="Z279" s="250">
        <f t="shared" si="141"/>
        <v>0</v>
      </c>
      <c r="AA279" s="249"/>
      <c r="AB279" s="249"/>
      <c r="AC279" s="250">
        <f t="shared" si="142"/>
        <v>0</v>
      </c>
      <c r="AD279" s="249"/>
      <c r="AE279" s="249"/>
      <c r="AF279" s="250">
        <f t="shared" si="143"/>
        <v>0</v>
      </c>
      <c r="AG279" s="249"/>
      <c r="AH279" s="249"/>
      <c r="AI279" s="250">
        <f t="shared" si="144"/>
        <v>0</v>
      </c>
      <c r="AJ279" s="249"/>
      <c r="AK279" s="249"/>
      <c r="AL279" s="250">
        <f t="shared" si="145"/>
        <v>0</v>
      </c>
      <c r="AM279" s="249"/>
      <c r="AN279" s="249"/>
      <c r="AO279" s="250">
        <f t="shared" si="146"/>
        <v>0</v>
      </c>
      <c r="AP279" s="249"/>
      <c r="AQ279" s="249"/>
      <c r="AR279" s="250">
        <f t="shared" si="147"/>
        <v>0</v>
      </c>
      <c r="AS279" s="249"/>
      <c r="AT279" s="249"/>
      <c r="AU279" s="250">
        <f t="shared" si="148"/>
        <v>0</v>
      </c>
      <c r="AV279" s="249"/>
      <c r="AW279" s="249"/>
      <c r="AX279" s="250">
        <f t="shared" si="149"/>
        <v>0</v>
      </c>
      <c r="AY279" s="249"/>
      <c r="AZ279" s="249"/>
      <c r="BA279" s="250">
        <f t="shared" si="150"/>
        <v>0</v>
      </c>
      <c r="BB279" s="249"/>
      <c r="BC279" s="249"/>
      <c r="BD279" s="250">
        <f t="shared" si="151"/>
        <v>0</v>
      </c>
    </row>
    <row r="280" spans="1:56">
      <c r="A280" s="251"/>
      <c r="B280" s="259" t="s">
        <v>389</v>
      </c>
      <c r="C280" s="249">
        <v>4465</v>
      </c>
      <c r="D280" s="249">
        <v>4838</v>
      </c>
      <c r="E280" s="508">
        <f t="shared" si="134"/>
        <v>8.3538633818589023</v>
      </c>
      <c r="F280" s="249">
        <v>11416</v>
      </c>
      <c r="G280" s="249">
        <v>12015.5</v>
      </c>
      <c r="H280" s="437">
        <f t="shared" si="135"/>
        <v>5.2514015416958655</v>
      </c>
      <c r="I280" s="249">
        <v>5058</v>
      </c>
      <c r="J280" s="249">
        <v>5233.5</v>
      </c>
      <c r="K280" s="437">
        <f t="shared" si="136"/>
        <v>3.4697508896797151</v>
      </c>
      <c r="L280" s="249">
        <v>14907.599999999999</v>
      </c>
      <c r="M280" s="249">
        <v>13145</v>
      </c>
      <c r="N280" s="250">
        <f t="shared" si="137"/>
        <v>-11.823499423113034</v>
      </c>
      <c r="O280" s="249"/>
      <c r="P280" s="249"/>
      <c r="Q280" s="250">
        <f t="shared" si="138"/>
        <v>0</v>
      </c>
      <c r="R280" s="249"/>
      <c r="S280" s="249"/>
      <c r="T280" s="250">
        <f t="shared" si="139"/>
        <v>0</v>
      </c>
      <c r="U280" s="249"/>
      <c r="V280" s="249"/>
      <c r="W280" s="250">
        <f t="shared" si="140"/>
        <v>0</v>
      </c>
      <c r="X280" s="249"/>
      <c r="Y280" s="249"/>
      <c r="Z280" s="250">
        <f t="shared" si="141"/>
        <v>0</v>
      </c>
      <c r="AA280" s="249"/>
      <c r="AB280" s="249"/>
      <c r="AC280" s="250">
        <f t="shared" si="142"/>
        <v>0</v>
      </c>
      <c r="AD280" s="249"/>
      <c r="AE280" s="249"/>
      <c r="AF280" s="250">
        <f t="shared" si="143"/>
        <v>0</v>
      </c>
      <c r="AG280" s="249"/>
      <c r="AH280" s="249"/>
      <c r="AI280" s="250">
        <f t="shared" si="144"/>
        <v>0</v>
      </c>
      <c r="AJ280" s="249"/>
      <c r="AK280" s="249"/>
      <c r="AL280" s="250">
        <f t="shared" si="145"/>
        <v>0</v>
      </c>
      <c r="AM280" s="249"/>
      <c r="AN280" s="249"/>
      <c r="AO280" s="250">
        <f t="shared" si="146"/>
        <v>0</v>
      </c>
      <c r="AP280" s="249"/>
      <c r="AQ280" s="249"/>
      <c r="AR280" s="250">
        <f t="shared" si="147"/>
        <v>0</v>
      </c>
      <c r="AS280" s="249"/>
      <c r="AT280" s="249"/>
      <c r="AU280" s="250">
        <f t="shared" si="148"/>
        <v>0</v>
      </c>
      <c r="AV280" s="249"/>
      <c r="AW280" s="249"/>
      <c r="AX280" s="250">
        <f t="shared" si="149"/>
        <v>0</v>
      </c>
      <c r="AY280" s="249"/>
      <c r="AZ280" s="249"/>
      <c r="BA280" s="250">
        <f t="shared" si="150"/>
        <v>0</v>
      </c>
      <c r="BB280" s="249"/>
      <c r="BC280" s="249"/>
      <c r="BD280" s="250">
        <f t="shared" si="151"/>
        <v>0</v>
      </c>
    </row>
    <row r="281" spans="1:56" s="255" customFormat="1" ht="19.5" customHeight="1">
      <c r="A281" s="252"/>
      <c r="B281" s="427" t="s">
        <v>221</v>
      </c>
      <c r="C281" s="253">
        <v>5389</v>
      </c>
      <c r="D281" s="253">
        <v>5670</v>
      </c>
      <c r="E281" s="511">
        <f t="shared" si="134"/>
        <v>5.2143254778251995</v>
      </c>
      <c r="F281" s="253">
        <v>14083</v>
      </c>
      <c r="G281" s="253">
        <v>15103</v>
      </c>
      <c r="H281" s="440">
        <f t="shared" si="135"/>
        <v>7.2427749769225311</v>
      </c>
      <c r="I281" s="253">
        <v>5851.2</v>
      </c>
      <c r="J281" s="253">
        <v>6163.2</v>
      </c>
      <c r="K281" s="440">
        <f t="shared" si="136"/>
        <v>5.3322395406070555</v>
      </c>
      <c r="L281" s="253">
        <v>14126.5</v>
      </c>
      <c r="M281" s="253">
        <v>15100.8</v>
      </c>
      <c r="N281" s="254">
        <f t="shared" si="137"/>
        <v>6.8969666938024226</v>
      </c>
      <c r="O281" s="253"/>
      <c r="P281" s="253"/>
      <c r="Q281" s="254">
        <f t="shared" si="138"/>
        <v>0</v>
      </c>
      <c r="R281" s="253"/>
      <c r="S281" s="253"/>
      <c r="T281" s="254">
        <f t="shared" si="139"/>
        <v>0</v>
      </c>
      <c r="U281" s="253"/>
      <c r="V281" s="253"/>
      <c r="W281" s="254">
        <f t="shared" si="140"/>
        <v>0</v>
      </c>
      <c r="X281" s="253"/>
      <c r="Y281" s="253"/>
      <c r="Z281" s="254">
        <f t="shared" si="141"/>
        <v>0</v>
      </c>
      <c r="AA281" s="253"/>
      <c r="AB281" s="253"/>
      <c r="AC281" s="254">
        <f t="shared" si="142"/>
        <v>0</v>
      </c>
      <c r="AD281" s="253"/>
      <c r="AE281" s="253"/>
      <c r="AF281" s="254">
        <f t="shared" si="143"/>
        <v>0</v>
      </c>
      <c r="AG281" s="253"/>
      <c r="AH281" s="253"/>
      <c r="AI281" s="254">
        <f t="shared" si="144"/>
        <v>0</v>
      </c>
      <c r="AJ281" s="253"/>
      <c r="AK281" s="253"/>
      <c r="AL281" s="254">
        <f t="shared" si="145"/>
        <v>0</v>
      </c>
      <c r="AM281" s="253"/>
      <c r="AN281" s="253"/>
      <c r="AO281" s="254">
        <f t="shared" si="146"/>
        <v>0</v>
      </c>
      <c r="AP281" s="253"/>
      <c r="AQ281" s="253"/>
      <c r="AR281" s="254">
        <f t="shared" si="147"/>
        <v>0</v>
      </c>
      <c r="AS281" s="253"/>
      <c r="AT281" s="253"/>
      <c r="AU281" s="254">
        <f t="shared" si="148"/>
        <v>0</v>
      </c>
      <c r="AV281" s="253"/>
      <c r="AW281" s="253"/>
      <c r="AX281" s="254">
        <f t="shared" si="149"/>
        <v>0</v>
      </c>
      <c r="AY281" s="253"/>
      <c r="AZ281" s="253"/>
      <c r="BA281" s="254">
        <f t="shared" si="150"/>
        <v>0</v>
      </c>
      <c r="BB281" s="253"/>
      <c r="BC281" s="253"/>
      <c r="BD281" s="254">
        <f t="shared" si="151"/>
        <v>0</v>
      </c>
    </row>
    <row r="282" spans="1:56">
      <c r="A282" s="251"/>
      <c r="B282" s="259" t="s">
        <v>390</v>
      </c>
      <c r="C282" s="249">
        <v>2333.1</v>
      </c>
      <c r="D282" s="249">
        <v>2625</v>
      </c>
      <c r="E282" s="508">
        <f t="shared" si="134"/>
        <v>12.511251125112516</v>
      </c>
      <c r="F282" s="249">
        <v>8167.95</v>
      </c>
      <c r="G282" s="249">
        <v>8944.5</v>
      </c>
      <c r="H282" s="437">
        <f t="shared" si="135"/>
        <v>9.5072815088241267</v>
      </c>
      <c r="I282" s="249"/>
      <c r="J282" s="249"/>
      <c r="K282" s="437"/>
      <c r="L282" s="249"/>
      <c r="M282" s="249"/>
      <c r="N282" s="250"/>
      <c r="O282" s="249"/>
      <c r="P282" s="249"/>
      <c r="Q282" s="250">
        <f t="shared" si="138"/>
        <v>0</v>
      </c>
      <c r="R282" s="249"/>
      <c r="S282" s="249"/>
      <c r="T282" s="250">
        <f t="shared" si="139"/>
        <v>0</v>
      </c>
      <c r="U282" s="249"/>
      <c r="V282" s="249"/>
      <c r="W282" s="250">
        <f t="shared" si="140"/>
        <v>0</v>
      </c>
      <c r="X282" s="249"/>
      <c r="Y282" s="249"/>
      <c r="Z282" s="250">
        <f t="shared" si="141"/>
        <v>0</v>
      </c>
      <c r="AA282" s="249"/>
      <c r="AB282" s="249"/>
      <c r="AC282" s="250">
        <f t="shared" si="142"/>
        <v>0</v>
      </c>
      <c r="AD282" s="249"/>
      <c r="AE282" s="249"/>
      <c r="AF282" s="250">
        <f t="shared" si="143"/>
        <v>0</v>
      </c>
      <c r="AG282" s="249"/>
      <c r="AH282" s="249"/>
      <c r="AI282" s="250">
        <f t="shared" si="144"/>
        <v>0</v>
      </c>
      <c r="AJ282" s="249"/>
      <c r="AK282" s="249"/>
      <c r="AL282" s="250">
        <f t="shared" si="145"/>
        <v>0</v>
      </c>
      <c r="AM282" s="249"/>
      <c r="AN282" s="249"/>
      <c r="AO282" s="250">
        <f t="shared" si="146"/>
        <v>0</v>
      </c>
      <c r="AP282" s="249"/>
      <c r="AQ282" s="249"/>
      <c r="AR282" s="250">
        <f t="shared" si="147"/>
        <v>0</v>
      </c>
      <c r="AS282" s="249"/>
      <c r="AT282" s="249"/>
      <c r="AU282" s="250">
        <f t="shared" si="148"/>
        <v>0</v>
      </c>
      <c r="AV282" s="249"/>
      <c r="AW282" s="249"/>
      <c r="AX282" s="250">
        <f t="shared" si="149"/>
        <v>0</v>
      </c>
      <c r="AY282" s="249"/>
      <c r="AZ282" s="249"/>
      <c r="BA282" s="250">
        <f t="shared" si="150"/>
        <v>0</v>
      </c>
      <c r="BB282" s="249"/>
      <c r="BC282" s="249"/>
      <c r="BD282" s="250">
        <f t="shared" si="151"/>
        <v>0</v>
      </c>
    </row>
    <row r="283" spans="1:56">
      <c r="A283" s="251"/>
      <c r="B283" s="259" t="s">
        <v>391</v>
      </c>
      <c r="C283" s="249">
        <v>2177.25</v>
      </c>
      <c r="D283" s="249">
        <v>2409.1999999999998</v>
      </c>
      <c r="E283" s="508">
        <f t="shared" si="134"/>
        <v>10.653347112182791</v>
      </c>
      <c r="F283" s="249">
        <v>7533</v>
      </c>
      <c r="G283" s="249">
        <v>7802.6</v>
      </c>
      <c r="H283" s="437">
        <f t="shared" si="135"/>
        <v>3.5789194212133326</v>
      </c>
      <c r="I283" s="249"/>
      <c r="J283" s="249"/>
      <c r="K283" s="437">
        <f t="shared" si="136"/>
        <v>0</v>
      </c>
      <c r="L283" s="249"/>
      <c r="M283" s="249"/>
      <c r="N283" s="250">
        <f t="shared" si="137"/>
        <v>0</v>
      </c>
      <c r="O283" s="249"/>
      <c r="P283" s="249"/>
      <c r="Q283" s="250">
        <f t="shared" si="138"/>
        <v>0</v>
      </c>
      <c r="R283" s="249"/>
      <c r="S283" s="249"/>
      <c r="T283" s="250">
        <f t="shared" si="139"/>
        <v>0</v>
      </c>
      <c r="U283" s="249"/>
      <c r="V283" s="249"/>
      <c r="W283" s="250">
        <f t="shared" si="140"/>
        <v>0</v>
      </c>
      <c r="X283" s="249"/>
      <c r="Y283" s="249"/>
      <c r="Z283" s="250">
        <f t="shared" si="141"/>
        <v>0</v>
      </c>
      <c r="AA283" s="249"/>
      <c r="AB283" s="249"/>
      <c r="AC283" s="250">
        <f t="shared" si="142"/>
        <v>0</v>
      </c>
      <c r="AD283" s="249"/>
      <c r="AE283" s="249"/>
      <c r="AF283" s="250">
        <f t="shared" si="143"/>
        <v>0</v>
      </c>
      <c r="AG283" s="249"/>
      <c r="AH283" s="249"/>
      <c r="AI283" s="250">
        <f t="shared" si="144"/>
        <v>0</v>
      </c>
      <c r="AJ283" s="249"/>
      <c r="AK283" s="249"/>
      <c r="AL283" s="250">
        <f t="shared" si="145"/>
        <v>0</v>
      </c>
      <c r="AM283" s="249"/>
      <c r="AN283" s="249"/>
      <c r="AO283" s="250">
        <f t="shared" si="146"/>
        <v>0</v>
      </c>
      <c r="AP283" s="249"/>
      <c r="AQ283" s="249"/>
      <c r="AR283" s="250">
        <f t="shared" si="147"/>
        <v>0</v>
      </c>
      <c r="AS283" s="249"/>
      <c r="AT283" s="249"/>
      <c r="AU283" s="250">
        <f t="shared" si="148"/>
        <v>0</v>
      </c>
      <c r="AV283" s="249"/>
      <c r="AW283" s="249"/>
      <c r="AX283" s="250">
        <f t="shared" si="149"/>
        <v>0</v>
      </c>
      <c r="AY283" s="249"/>
      <c r="AZ283" s="249"/>
      <c r="BA283" s="250">
        <f t="shared" si="150"/>
        <v>0</v>
      </c>
      <c r="BB283" s="249"/>
      <c r="BC283" s="249"/>
      <c r="BD283" s="250">
        <f t="shared" si="151"/>
        <v>0</v>
      </c>
    </row>
    <row r="284" spans="1:56">
      <c r="A284" s="251"/>
      <c r="B284" s="259" t="s">
        <v>392</v>
      </c>
      <c r="C284" s="249">
        <v>2314.8000000000002</v>
      </c>
      <c r="D284" s="249">
        <v>2560.8000000000002</v>
      </c>
      <c r="E284" s="508">
        <f t="shared" si="134"/>
        <v>10.627268014515293</v>
      </c>
      <c r="F284" s="249">
        <v>7526</v>
      </c>
      <c r="G284" s="249">
        <v>7781.6</v>
      </c>
      <c r="H284" s="437">
        <f t="shared" si="135"/>
        <v>3.3962264150943442</v>
      </c>
      <c r="I284" s="249"/>
      <c r="J284" s="249"/>
      <c r="K284" s="437">
        <f t="shared" si="136"/>
        <v>0</v>
      </c>
      <c r="L284" s="249"/>
      <c r="M284" s="249"/>
      <c r="N284" s="250">
        <f t="shared" si="137"/>
        <v>0</v>
      </c>
      <c r="O284" s="249"/>
      <c r="P284" s="249"/>
      <c r="Q284" s="250">
        <f t="shared" si="138"/>
        <v>0</v>
      </c>
      <c r="R284" s="249"/>
      <c r="S284" s="249"/>
      <c r="T284" s="250">
        <f t="shared" si="139"/>
        <v>0</v>
      </c>
      <c r="U284" s="249"/>
      <c r="V284" s="249"/>
      <c r="W284" s="250">
        <f t="shared" si="140"/>
        <v>0</v>
      </c>
      <c r="X284" s="249"/>
      <c r="Y284" s="249"/>
      <c r="Z284" s="250">
        <f t="shared" si="141"/>
        <v>0</v>
      </c>
      <c r="AA284" s="249"/>
      <c r="AB284" s="249"/>
      <c r="AC284" s="250">
        <f t="shared" si="142"/>
        <v>0</v>
      </c>
      <c r="AD284" s="249"/>
      <c r="AE284" s="249"/>
      <c r="AF284" s="250">
        <f t="shared" si="143"/>
        <v>0</v>
      </c>
      <c r="AG284" s="249"/>
      <c r="AH284" s="249"/>
      <c r="AI284" s="250">
        <f t="shared" si="144"/>
        <v>0</v>
      </c>
      <c r="AJ284" s="249"/>
      <c r="AK284" s="249"/>
      <c r="AL284" s="250">
        <f t="shared" si="145"/>
        <v>0</v>
      </c>
      <c r="AM284" s="249"/>
      <c r="AN284" s="249"/>
      <c r="AO284" s="250">
        <f t="shared" si="146"/>
        <v>0</v>
      </c>
      <c r="AP284" s="249"/>
      <c r="AQ284" s="249"/>
      <c r="AR284" s="250">
        <f t="shared" si="147"/>
        <v>0</v>
      </c>
      <c r="AS284" s="249"/>
      <c r="AT284" s="249"/>
      <c r="AU284" s="250">
        <f t="shared" si="148"/>
        <v>0</v>
      </c>
      <c r="AV284" s="249"/>
      <c r="AW284" s="249"/>
      <c r="AX284" s="250">
        <f t="shared" si="149"/>
        <v>0</v>
      </c>
      <c r="AY284" s="249"/>
      <c r="AZ284" s="249"/>
      <c r="BA284" s="250">
        <f t="shared" si="150"/>
        <v>0</v>
      </c>
      <c r="BB284" s="249"/>
      <c r="BC284" s="249"/>
      <c r="BD284" s="250">
        <f t="shared" si="151"/>
        <v>0</v>
      </c>
    </row>
    <row r="285" spans="1:56">
      <c r="A285" s="251"/>
      <c r="B285" s="259" t="s">
        <v>196</v>
      </c>
      <c r="C285" s="249">
        <v>2520</v>
      </c>
      <c r="D285" s="249">
        <v>2700</v>
      </c>
      <c r="E285" s="508">
        <f t="shared" si="134"/>
        <v>7.1428571428571423</v>
      </c>
      <c r="F285" s="249">
        <v>6370</v>
      </c>
      <c r="G285" s="249">
        <v>6660</v>
      </c>
      <c r="H285" s="437">
        <f t="shared" si="135"/>
        <v>4.5525902668759812</v>
      </c>
      <c r="I285" s="249"/>
      <c r="J285" s="249"/>
      <c r="K285" s="437">
        <f t="shared" si="136"/>
        <v>0</v>
      </c>
      <c r="L285" s="249"/>
      <c r="M285" s="249"/>
      <c r="N285" s="250">
        <f t="shared" si="137"/>
        <v>0</v>
      </c>
      <c r="O285" s="249"/>
      <c r="P285" s="249"/>
      <c r="Q285" s="250">
        <f t="shared" si="138"/>
        <v>0</v>
      </c>
      <c r="R285" s="249"/>
      <c r="S285" s="249"/>
      <c r="T285" s="250">
        <f t="shared" si="139"/>
        <v>0</v>
      </c>
      <c r="U285" s="249"/>
      <c r="V285" s="249"/>
      <c r="W285" s="250">
        <f t="shared" si="140"/>
        <v>0</v>
      </c>
      <c r="X285" s="249"/>
      <c r="Y285" s="249"/>
      <c r="Z285" s="250">
        <f t="shared" si="141"/>
        <v>0</v>
      </c>
      <c r="AA285" s="249"/>
      <c r="AB285" s="249"/>
      <c r="AC285" s="250">
        <f t="shared" si="142"/>
        <v>0</v>
      </c>
      <c r="AD285" s="249"/>
      <c r="AE285" s="249"/>
      <c r="AF285" s="250">
        <f t="shared" si="143"/>
        <v>0</v>
      </c>
      <c r="AG285" s="249"/>
      <c r="AH285" s="249"/>
      <c r="AI285" s="250">
        <f t="shared" si="144"/>
        <v>0</v>
      </c>
      <c r="AJ285" s="249"/>
      <c r="AK285" s="249"/>
      <c r="AL285" s="250">
        <f t="shared" si="145"/>
        <v>0</v>
      </c>
      <c r="AM285" s="249"/>
      <c r="AN285" s="249"/>
      <c r="AO285" s="250">
        <f t="shared" si="146"/>
        <v>0</v>
      </c>
      <c r="AP285" s="249"/>
      <c r="AQ285" s="249"/>
      <c r="AR285" s="250">
        <f t="shared" si="147"/>
        <v>0</v>
      </c>
      <c r="AS285" s="249"/>
      <c r="AT285" s="249"/>
      <c r="AU285" s="250">
        <f t="shared" si="148"/>
        <v>0</v>
      </c>
      <c r="AV285" s="249"/>
      <c r="AW285" s="249"/>
      <c r="AX285" s="250">
        <f t="shared" si="149"/>
        <v>0</v>
      </c>
      <c r="AY285" s="249"/>
      <c r="AZ285" s="249"/>
      <c r="BA285" s="250">
        <f t="shared" si="150"/>
        <v>0</v>
      </c>
      <c r="BB285" s="249"/>
      <c r="BC285" s="249"/>
      <c r="BD285" s="250">
        <f t="shared" si="151"/>
        <v>0</v>
      </c>
    </row>
    <row r="286" spans="1:56" s="255" customFormat="1" ht="20.25" customHeight="1">
      <c r="A286" s="252"/>
      <c r="B286" s="427" t="s">
        <v>550</v>
      </c>
      <c r="C286" s="253">
        <v>2316.4</v>
      </c>
      <c r="D286" s="253">
        <v>2577.6999999999998</v>
      </c>
      <c r="E286" s="511">
        <f t="shared" si="134"/>
        <v>11.280435158003787</v>
      </c>
      <c r="F286" s="253">
        <v>7493.5</v>
      </c>
      <c r="G286" s="253">
        <v>7750.1</v>
      </c>
      <c r="H286" s="440">
        <f t="shared" si="135"/>
        <v>3.4243010609194684</v>
      </c>
      <c r="I286" s="253"/>
      <c r="J286" s="253"/>
      <c r="K286" s="440">
        <f t="shared" si="136"/>
        <v>0</v>
      </c>
      <c r="L286" s="253"/>
      <c r="M286" s="253"/>
      <c r="N286" s="254">
        <f t="shared" si="137"/>
        <v>0</v>
      </c>
      <c r="O286" s="253"/>
      <c r="P286" s="253"/>
      <c r="Q286" s="254">
        <f t="shared" si="138"/>
        <v>0</v>
      </c>
      <c r="R286" s="253"/>
      <c r="S286" s="253"/>
      <c r="T286" s="254">
        <f t="shared" si="139"/>
        <v>0</v>
      </c>
      <c r="U286" s="253"/>
      <c r="V286" s="253"/>
      <c r="W286" s="254">
        <f t="shared" si="140"/>
        <v>0</v>
      </c>
      <c r="X286" s="253"/>
      <c r="Y286" s="253"/>
      <c r="Z286" s="254">
        <f t="shared" si="141"/>
        <v>0</v>
      </c>
      <c r="AA286" s="253"/>
      <c r="AB286" s="253"/>
      <c r="AC286" s="254">
        <f t="shared" si="142"/>
        <v>0</v>
      </c>
      <c r="AD286" s="253"/>
      <c r="AE286" s="253"/>
      <c r="AF286" s="254">
        <f t="shared" si="143"/>
        <v>0</v>
      </c>
      <c r="AG286" s="253"/>
      <c r="AH286" s="253"/>
      <c r="AI286" s="254">
        <f t="shared" si="144"/>
        <v>0</v>
      </c>
      <c r="AJ286" s="253"/>
      <c r="AK286" s="253"/>
      <c r="AL286" s="254">
        <f t="shared" si="145"/>
        <v>0</v>
      </c>
      <c r="AM286" s="253"/>
      <c r="AN286" s="253"/>
      <c r="AO286" s="254">
        <f t="shared" si="146"/>
        <v>0</v>
      </c>
      <c r="AP286" s="253"/>
      <c r="AQ286" s="253"/>
      <c r="AR286" s="254">
        <f t="shared" si="147"/>
        <v>0</v>
      </c>
      <c r="AS286" s="253"/>
      <c r="AT286" s="253"/>
      <c r="AU286" s="254">
        <f t="shared" si="148"/>
        <v>0</v>
      </c>
      <c r="AV286" s="253"/>
      <c r="AW286" s="253"/>
      <c r="AX286" s="254">
        <f t="shared" si="149"/>
        <v>0</v>
      </c>
      <c r="AY286" s="253"/>
      <c r="AZ286" s="253"/>
      <c r="BA286" s="254">
        <f t="shared" si="150"/>
        <v>0</v>
      </c>
      <c r="BB286" s="253"/>
      <c r="BC286" s="253"/>
      <c r="BD286" s="254">
        <f t="shared" si="151"/>
        <v>0</v>
      </c>
    </row>
    <row r="287" spans="1:56">
      <c r="A287" s="251"/>
      <c r="B287" s="259" t="s">
        <v>197</v>
      </c>
      <c r="C287" s="249">
        <v>1545</v>
      </c>
      <c r="D287" s="249">
        <v>2055</v>
      </c>
      <c r="E287" s="508">
        <f t="shared" si="134"/>
        <v>33.009708737864081</v>
      </c>
      <c r="F287" s="249">
        <v>2844.5</v>
      </c>
      <c r="G287" s="249">
        <v>3856.5</v>
      </c>
      <c r="H287" s="437">
        <f t="shared" si="135"/>
        <v>35.577430128317808</v>
      </c>
      <c r="I287" s="249"/>
      <c r="J287" s="249"/>
      <c r="K287" s="437">
        <f t="shared" si="136"/>
        <v>0</v>
      </c>
      <c r="L287" s="249"/>
      <c r="M287" s="249"/>
      <c r="N287" s="250">
        <f t="shared" si="137"/>
        <v>0</v>
      </c>
      <c r="O287" s="249"/>
      <c r="P287" s="249"/>
      <c r="Q287" s="250">
        <f t="shared" si="138"/>
        <v>0</v>
      </c>
      <c r="R287" s="249"/>
      <c r="S287" s="249"/>
      <c r="T287" s="250">
        <f t="shared" si="139"/>
        <v>0</v>
      </c>
      <c r="U287" s="249"/>
      <c r="V287" s="249"/>
      <c r="W287" s="250">
        <f t="shared" si="140"/>
        <v>0</v>
      </c>
      <c r="X287" s="249"/>
      <c r="Y287" s="249"/>
      <c r="Z287" s="250">
        <f t="shared" si="141"/>
        <v>0</v>
      </c>
      <c r="AA287" s="249"/>
      <c r="AB287" s="249"/>
      <c r="AC287" s="250">
        <f t="shared" si="142"/>
        <v>0</v>
      </c>
      <c r="AD287" s="249"/>
      <c r="AE287" s="249"/>
      <c r="AF287" s="250">
        <f t="shared" si="143"/>
        <v>0</v>
      </c>
      <c r="AG287" s="249"/>
      <c r="AH287" s="249"/>
      <c r="AI287" s="250">
        <f t="shared" si="144"/>
        <v>0</v>
      </c>
      <c r="AJ287" s="249"/>
      <c r="AK287" s="249"/>
      <c r="AL287" s="250">
        <f t="shared" si="145"/>
        <v>0</v>
      </c>
      <c r="AM287" s="249"/>
      <c r="AN287" s="249"/>
      <c r="AO287" s="250">
        <f t="shared" si="146"/>
        <v>0</v>
      </c>
      <c r="AP287" s="249"/>
      <c r="AQ287" s="249"/>
      <c r="AR287" s="250">
        <f t="shared" si="147"/>
        <v>0</v>
      </c>
      <c r="AS287" s="249"/>
      <c r="AT287" s="249"/>
      <c r="AU287" s="250">
        <f t="shared" si="148"/>
        <v>0</v>
      </c>
      <c r="AV287" s="249"/>
      <c r="AW287" s="249"/>
      <c r="AX287" s="250">
        <f t="shared" si="149"/>
        <v>0</v>
      </c>
      <c r="AY287" s="249"/>
      <c r="AZ287" s="249"/>
      <c r="BA287" s="250">
        <f t="shared" si="150"/>
        <v>0</v>
      </c>
      <c r="BB287" s="249"/>
      <c r="BC287" s="249"/>
      <c r="BD287" s="250">
        <f t="shared" si="151"/>
        <v>0</v>
      </c>
    </row>
    <row r="288" spans="1:56">
      <c r="A288" s="251"/>
      <c r="B288" s="259" t="s">
        <v>326</v>
      </c>
      <c r="C288" s="249">
        <v>1817.5</v>
      </c>
      <c r="D288" s="249">
        <v>2043</v>
      </c>
      <c r="E288" s="508">
        <f t="shared" si="134"/>
        <v>12.407152682255845</v>
      </c>
      <c r="F288" s="249">
        <v>2350</v>
      </c>
      <c r="G288" s="249">
        <v>2250</v>
      </c>
      <c r="H288" s="437">
        <f t="shared" si="135"/>
        <v>-4.2553191489361701</v>
      </c>
      <c r="I288" s="249"/>
      <c r="J288" s="249"/>
      <c r="K288" s="437">
        <f t="shared" si="136"/>
        <v>0</v>
      </c>
      <c r="L288" s="249"/>
      <c r="M288" s="249"/>
      <c r="N288" s="250">
        <f t="shared" si="137"/>
        <v>0</v>
      </c>
      <c r="O288" s="249"/>
      <c r="P288" s="249"/>
      <c r="Q288" s="250">
        <f t="shared" si="138"/>
        <v>0</v>
      </c>
      <c r="R288" s="249"/>
      <c r="S288" s="249"/>
      <c r="T288" s="250">
        <f t="shared" si="139"/>
        <v>0</v>
      </c>
      <c r="U288" s="249"/>
      <c r="V288" s="249"/>
      <c r="W288" s="250">
        <f t="shared" si="140"/>
        <v>0</v>
      </c>
      <c r="X288" s="249"/>
      <c r="Y288" s="249"/>
      <c r="Z288" s="250">
        <f t="shared" si="141"/>
        <v>0</v>
      </c>
      <c r="AA288" s="249"/>
      <c r="AB288" s="249"/>
      <c r="AC288" s="250">
        <f t="shared" si="142"/>
        <v>0</v>
      </c>
      <c r="AD288" s="249"/>
      <c r="AE288" s="249"/>
      <c r="AF288" s="250">
        <f t="shared" si="143"/>
        <v>0</v>
      </c>
      <c r="AG288" s="249"/>
      <c r="AH288" s="249"/>
      <c r="AI288" s="250">
        <f t="shared" si="144"/>
        <v>0</v>
      </c>
      <c r="AJ288" s="249"/>
      <c r="AK288" s="249"/>
      <c r="AL288" s="250">
        <f t="shared" si="145"/>
        <v>0</v>
      </c>
      <c r="AM288" s="249"/>
      <c r="AN288" s="249"/>
      <c r="AO288" s="250">
        <f t="shared" si="146"/>
        <v>0</v>
      </c>
      <c r="AP288" s="249"/>
      <c r="AQ288" s="249"/>
      <c r="AR288" s="250">
        <f t="shared" si="147"/>
        <v>0</v>
      </c>
      <c r="AS288" s="249"/>
      <c r="AT288" s="249"/>
      <c r="AU288" s="250">
        <f t="shared" si="148"/>
        <v>0</v>
      </c>
      <c r="AV288" s="249"/>
      <c r="AW288" s="249"/>
      <c r="AX288" s="250">
        <f t="shared" si="149"/>
        <v>0</v>
      </c>
      <c r="AY288" s="249"/>
      <c r="AZ288" s="249"/>
      <c r="BA288" s="250">
        <f t="shared" si="150"/>
        <v>0</v>
      </c>
      <c r="BB288" s="249"/>
      <c r="BC288" s="249"/>
      <c r="BD288" s="250">
        <f t="shared" si="151"/>
        <v>0</v>
      </c>
    </row>
    <row r="289" spans="1:56">
      <c r="A289" s="251"/>
      <c r="B289" s="259" t="s">
        <v>327</v>
      </c>
      <c r="C289" s="249">
        <v>804</v>
      </c>
      <c r="D289" s="249">
        <v>974</v>
      </c>
      <c r="E289" s="508"/>
      <c r="F289" s="249">
        <v>1394.8</v>
      </c>
      <c r="G289" s="249">
        <v>1604</v>
      </c>
      <c r="H289" s="437">
        <f t="shared" si="135"/>
        <v>14.998566102667052</v>
      </c>
      <c r="I289" s="249"/>
      <c r="J289" s="249"/>
      <c r="K289" s="437">
        <f t="shared" si="136"/>
        <v>0</v>
      </c>
      <c r="L289" s="249"/>
      <c r="M289" s="249"/>
      <c r="N289" s="250">
        <f t="shared" si="137"/>
        <v>0</v>
      </c>
      <c r="O289" s="249"/>
      <c r="P289" s="249"/>
      <c r="Q289" s="250">
        <f t="shared" si="138"/>
        <v>0</v>
      </c>
      <c r="R289" s="249"/>
      <c r="S289" s="249"/>
      <c r="T289" s="250">
        <f t="shared" si="139"/>
        <v>0</v>
      </c>
      <c r="U289" s="249"/>
      <c r="V289" s="249"/>
      <c r="W289" s="250">
        <f t="shared" si="140"/>
        <v>0</v>
      </c>
      <c r="X289" s="249"/>
      <c r="Y289" s="249"/>
      <c r="Z289" s="250">
        <f t="shared" si="141"/>
        <v>0</v>
      </c>
      <c r="AA289" s="249"/>
      <c r="AB289" s="249"/>
      <c r="AC289" s="250">
        <f t="shared" si="142"/>
        <v>0</v>
      </c>
      <c r="AD289" s="249"/>
      <c r="AE289" s="249"/>
      <c r="AF289" s="250">
        <f t="shared" si="143"/>
        <v>0</v>
      </c>
      <c r="AG289" s="249"/>
      <c r="AH289" s="249"/>
      <c r="AI289" s="250">
        <f t="shared" si="144"/>
        <v>0</v>
      </c>
      <c r="AJ289" s="249"/>
      <c r="AK289" s="249"/>
      <c r="AL289" s="250">
        <f t="shared" si="145"/>
        <v>0</v>
      </c>
      <c r="AM289" s="249"/>
      <c r="AN289" s="249"/>
      <c r="AO289" s="250">
        <f t="shared" si="146"/>
        <v>0</v>
      </c>
      <c r="AP289" s="249"/>
      <c r="AQ289" s="249"/>
      <c r="AR289" s="250">
        <f t="shared" si="147"/>
        <v>0</v>
      </c>
      <c r="AS289" s="249"/>
      <c r="AT289" s="249"/>
      <c r="AU289" s="250">
        <f t="shared" si="148"/>
        <v>0</v>
      </c>
      <c r="AV289" s="249"/>
      <c r="AW289" s="249"/>
      <c r="AX289" s="250">
        <f t="shared" si="149"/>
        <v>0</v>
      </c>
      <c r="AY289" s="249"/>
      <c r="AZ289" s="249"/>
      <c r="BA289" s="250">
        <f t="shared" si="150"/>
        <v>0</v>
      </c>
      <c r="BB289" s="249"/>
      <c r="BC289" s="249"/>
      <c r="BD289" s="250">
        <f t="shared" si="151"/>
        <v>0</v>
      </c>
    </row>
    <row r="290" spans="1:56" s="255" customFormat="1" ht="21.75" customHeight="1">
      <c r="A290" s="252"/>
      <c r="B290" s="427" t="s">
        <v>315</v>
      </c>
      <c r="C290" s="253">
        <v>1539</v>
      </c>
      <c r="D290" s="253">
        <v>1800</v>
      </c>
      <c r="E290" s="511">
        <f>IF(C290&gt;0,(((D290-C290)/C290)*100),0)</f>
        <v>16.959064327485379</v>
      </c>
      <c r="F290" s="253">
        <v>2250</v>
      </c>
      <c r="G290" s="253">
        <v>2250</v>
      </c>
      <c r="H290" s="440">
        <f t="shared" si="135"/>
        <v>0</v>
      </c>
      <c r="I290" s="253"/>
      <c r="J290" s="253"/>
      <c r="K290" s="440">
        <f t="shared" si="136"/>
        <v>0</v>
      </c>
      <c r="L290" s="253"/>
      <c r="M290" s="253"/>
      <c r="N290" s="254">
        <f t="shared" si="137"/>
        <v>0</v>
      </c>
      <c r="O290" s="253"/>
      <c r="P290" s="253"/>
      <c r="Q290" s="254">
        <f t="shared" si="138"/>
        <v>0</v>
      </c>
      <c r="R290" s="253"/>
      <c r="S290" s="253"/>
      <c r="T290" s="254">
        <f t="shared" si="139"/>
        <v>0</v>
      </c>
      <c r="U290" s="253"/>
      <c r="V290" s="253"/>
      <c r="W290" s="254">
        <f t="shared" si="140"/>
        <v>0</v>
      </c>
      <c r="X290" s="253"/>
      <c r="Y290" s="253"/>
      <c r="Z290" s="254">
        <f t="shared" si="141"/>
        <v>0</v>
      </c>
      <c r="AA290" s="253"/>
      <c r="AB290" s="253"/>
      <c r="AC290" s="254">
        <f t="shared" si="142"/>
        <v>0</v>
      </c>
      <c r="AD290" s="253"/>
      <c r="AE290" s="253"/>
      <c r="AF290" s="254">
        <f t="shared" si="143"/>
        <v>0</v>
      </c>
      <c r="AG290" s="253"/>
      <c r="AH290" s="253"/>
      <c r="AI290" s="254">
        <f t="shared" si="144"/>
        <v>0</v>
      </c>
      <c r="AJ290" s="253"/>
      <c r="AK290" s="253"/>
      <c r="AL290" s="254">
        <f t="shared" si="145"/>
        <v>0</v>
      </c>
      <c r="AM290" s="253"/>
      <c r="AN290" s="253"/>
      <c r="AO290" s="254">
        <f t="shared" si="146"/>
        <v>0</v>
      </c>
      <c r="AP290" s="253"/>
      <c r="AQ290" s="253"/>
      <c r="AR290" s="254">
        <f t="shared" si="147"/>
        <v>0</v>
      </c>
      <c r="AS290" s="253"/>
      <c r="AT290" s="253"/>
      <c r="AU290" s="254">
        <f t="shared" si="148"/>
        <v>0</v>
      </c>
      <c r="AV290" s="253"/>
      <c r="AW290" s="253"/>
      <c r="AX290" s="254">
        <f t="shared" si="149"/>
        <v>0</v>
      </c>
      <c r="AY290" s="253"/>
      <c r="AZ290" s="253"/>
      <c r="BA290" s="254">
        <f t="shared" si="150"/>
        <v>0</v>
      </c>
      <c r="BB290" s="253"/>
      <c r="BC290" s="253"/>
      <c r="BD290" s="254">
        <f t="shared" si="151"/>
        <v>0</v>
      </c>
    </row>
    <row r="291" spans="1:56">
      <c r="A291" s="256"/>
      <c r="B291" s="428" t="s">
        <v>198</v>
      </c>
      <c r="C291" s="257"/>
      <c r="D291" s="257"/>
      <c r="E291" s="510"/>
      <c r="F291" s="257"/>
      <c r="G291" s="257"/>
      <c r="H291" s="439"/>
      <c r="I291" s="257"/>
      <c r="J291" s="257"/>
      <c r="K291" s="439"/>
      <c r="L291" s="257"/>
      <c r="M291" s="257"/>
      <c r="N291" s="258"/>
      <c r="O291" s="257">
        <v>12564</v>
      </c>
      <c r="P291" s="257">
        <v>13608</v>
      </c>
      <c r="Q291" s="258">
        <f t="shared" si="138"/>
        <v>8.3094555873925504</v>
      </c>
      <c r="R291" s="257">
        <v>25931</v>
      </c>
      <c r="S291" s="257">
        <v>26979.84</v>
      </c>
      <c r="T291" s="258">
        <f t="shared" si="139"/>
        <v>4.0447341020400298</v>
      </c>
      <c r="U291" s="257">
        <v>17173.5</v>
      </c>
      <c r="V291" s="257">
        <v>18371.23</v>
      </c>
      <c r="W291" s="258">
        <f t="shared" si="140"/>
        <v>6.9742917867644891</v>
      </c>
      <c r="X291" s="257">
        <v>39692.5</v>
      </c>
      <c r="Y291" s="257">
        <v>43020</v>
      </c>
      <c r="Z291" s="258">
        <f t="shared" si="141"/>
        <v>8.383195817849721</v>
      </c>
      <c r="AA291" s="257">
        <v>16575</v>
      </c>
      <c r="AB291" s="257">
        <v>18443</v>
      </c>
      <c r="AC291" s="258">
        <f t="shared" si="142"/>
        <v>11.26998491704374</v>
      </c>
      <c r="AD291" s="257">
        <v>41272.5</v>
      </c>
      <c r="AE291" s="257">
        <v>41272.5</v>
      </c>
      <c r="AF291" s="258">
        <f t="shared" si="143"/>
        <v>0</v>
      </c>
      <c r="AG291" s="257">
        <v>13462</v>
      </c>
      <c r="AH291" s="257">
        <v>14520</v>
      </c>
      <c r="AI291" s="258">
        <f t="shared" si="144"/>
        <v>7.8591591145446431</v>
      </c>
      <c r="AJ291" s="257">
        <v>27074</v>
      </c>
      <c r="AK291" s="257">
        <v>26665</v>
      </c>
      <c r="AL291" s="258">
        <f t="shared" si="145"/>
        <v>-1.5106744478097067</v>
      </c>
      <c r="AM291" s="257">
        <v>16629</v>
      </c>
      <c r="AN291" s="257">
        <v>17787</v>
      </c>
      <c r="AO291" s="258">
        <f t="shared" si="146"/>
        <v>6.9637380479884534</v>
      </c>
      <c r="AP291" s="257">
        <v>29920</v>
      </c>
      <c r="AQ291" s="257">
        <v>29822</v>
      </c>
      <c r="AR291" s="258">
        <f t="shared" si="147"/>
        <v>-0.32754010695187163</v>
      </c>
      <c r="AS291" s="257">
        <v>19290.650000000001</v>
      </c>
      <c r="AT291" s="257">
        <v>19291</v>
      </c>
      <c r="AU291" s="258">
        <f t="shared" si="148"/>
        <v>1.8143504754818776E-3</v>
      </c>
      <c r="AV291" s="257">
        <v>37212.5</v>
      </c>
      <c r="AW291" s="257">
        <v>37213</v>
      </c>
      <c r="AX291" s="258">
        <f t="shared" si="149"/>
        <v>1.3436345314074571E-3</v>
      </c>
      <c r="AY291" s="257">
        <v>14468.130000000001</v>
      </c>
      <c r="AZ291" s="257">
        <v>14650.2</v>
      </c>
      <c r="BA291" s="258">
        <f t="shared" si="150"/>
        <v>1.2584210951933643</v>
      </c>
      <c r="BB291" s="257">
        <v>36581</v>
      </c>
      <c r="BC291" s="257">
        <v>36592</v>
      </c>
      <c r="BD291" s="258">
        <f t="shared" si="151"/>
        <v>3.0070255050436017E-2</v>
      </c>
    </row>
    <row r="292" spans="1:56">
      <c r="E292" s="513"/>
      <c r="H292" s="260"/>
      <c r="K292" s="260"/>
      <c r="N292" s="260"/>
      <c r="Q292" s="260"/>
      <c r="T292" s="260"/>
      <c r="W292" s="260"/>
      <c r="Z292" s="260"/>
      <c r="AC292" s="260"/>
      <c r="AF292" s="260"/>
      <c r="AI292" s="260"/>
      <c r="AL292" s="260"/>
      <c r="AO292" s="260"/>
      <c r="AR292" s="260"/>
      <c r="AU292" s="260"/>
      <c r="AX292" s="260"/>
      <c r="BA292" s="260"/>
      <c r="BD292" s="260"/>
    </row>
  </sheetData>
  <pageMargins left="0.5" right="0.5" top="1" bottom="1" header="0.5" footer="0.75"/>
  <pageSetup scale="75" pageOrder="overThenDown" orientation="landscape" r:id="rId1"/>
  <headerFooter alignWithMargins="0">
    <oddHeader>&amp;L&amp;"Arial,Bold"&amp;10SREB-State Data Exchange&amp;C&amp;"Arial,Bold"&amp;10Preliminary Tables&amp;R&amp;"Arial,Bold"&amp;10Part 7: Median Annual Tuition and Fees</oddHeader>
    <oddFooter>&amp;L&amp;"Arial,Bold"&amp;10For Agency Review Only&amp;R&amp;"Arial,Bold"&amp;10October 2009</oddFooter>
  </headerFooter>
  <rowBreaks count="15" manualBreakCount="15">
    <brk id="19" max="16383" man="1"/>
    <brk id="36" max="16383" man="1"/>
    <brk id="53" max="16383" man="1"/>
    <brk id="70" max="16383" man="1"/>
    <brk id="87" max="16383" man="1"/>
    <brk id="104" max="16383" man="1"/>
    <brk id="121" max="16383" man="1"/>
    <brk id="138" max="16383" man="1"/>
    <brk id="155" max="16383" man="1"/>
    <brk id="172" max="16383" man="1"/>
    <brk id="189" max="16383" man="1"/>
    <brk id="206" max="16383" man="1"/>
    <brk id="223" max="16383" man="1"/>
    <brk id="240" max="16383" man="1"/>
    <brk id="257" max="16383" man="1"/>
  </rowBreaks>
  <colBreaks count="2" manualBreakCount="2">
    <brk id="20" min="2" max="273" man="1"/>
    <brk id="38" min="2" max="273" man="1"/>
  </colBreaks>
  <legacyDrawing r:id="rId2"/>
</worksheet>
</file>

<file path=xl/worksheets/sheet5.xml><?xml version="1.0" encoding="utf-8"?>
<worksheet xmlns="http://schemas.openxmlformats.org/spreadsheetml/2006/main" xmlns:r="http://schemas.openxmlformats.org/officeDocument/2006/relationships">
  <sheetPr enableFormatConditionsCalculation="0">
    <tabColor indexed="12"/>
  </sheetPr>
  <dimension ref="A1:AS753"/>
  <sheetViews>
    <sheetView zoomScale="80" zoomScaleNormal="80" workbookViewId="0">
      <pane xSplit="4" ySplit="6" topLeftCell="E7" activePane="bottomRight" state="frozen"/>
      <selection pane="topRight" activeCell="E1" sqref="E1"/>
      <selection pane="bottomLeft" activeCell="A7" sqref="A7"/>
      <selection pane="bottomRight" activeCell="B6" sqref="B6"/>
    </sheetView>
  </sheetViews>
  <sheetFormatPr defaultColWidth="9" defaultRowHeight="12.75"/>
  <cols>
    <col min="1" max="1" width="4.25" style="205" customWidth="1"/>
    <col min="2" max="2" width="55.125" style="206" customWidth="1"/>
    <col min="3" max="3" width="7.875" style="205" customWidth="1"/>
    <col min="4" max="4" width="5.25" style="205" customWidth="1"/>
    <col min="5" max="5" width="8.625" style="87" customWidth="1"/>
    <col min="6" max="6" width="10.5" style="88" customWidth="1"/>
    <col min="7" max="7" width="9.875" style="87" customWidth="1"/>
    <col min="8" max="8" width="10.5" style="88" customWidth="1"/>
    <col min="9" max="9" width="8.625" style="87" customWidth="1"/>
    <col min="10" max="10" width="10.5" style="88" customWidth="1"/>
    <col min="11" max="11" width="9.875" style="87" customWidth="1"/>
    <col min="12" max="12" width="10.5" style="88" customWidth="1"/>
    <col min="13" max="13" width="8.625" style="87" customWidth="1"/>
    <col min="14" max="14" width="10.5" style="88" customWidth="1"/>
    <col min="15" max="15" width="9.875" style="87" customWidth="1"/>
    <col min="16" max="16" width="10.5" style="88" customWidth="1"/>
    <col min="17" max="17" width="8.625" style="87" customWidth="1"/>
    <col min="18" max="18" width="10.5" style="88" customWidth="1"/>
    <col min="19" max="19" width="9.875" style="87" customWidth="1"/>
    <col min="20" max="20" width="10.5" style="88" customWidth="1"/>
    <col min="21" max="21" width="8.625" style="87" customWidth="1"/>
    <col min="22" max="22" width="10.5" style="88" customWidth="1"/>
    <col min="23" max="23" width="9.875" style="87" customWidth="1"/>
    <col min="24" max="24" width="10.5" style="88" customWidth="1"/>
    <col min="25" max="25" width="8.625" style="87" customWidth="1"/>
    <col min="26" max="26" width="10.5" style="88" customWidth="1"/>
    <col min="27" max="27" width="9.875" style="87" customWidth="1"/>
    <col min="28" max="28" width="10.5" style="88" customWidth="1"/>
    <col min="29" max="29" width="8.625" style="87" customWidth="1"/>
    <col min="30" max="30" width="10.5" style="88" customWidth="1"/>
    <col min="31" max="31" width="9.875" style="87" customWidth="1"/>
    <col min="32" max="32" width="10.5" style="88" customWidth="1"/>
    <col min="33" max="33" width="8.625" style="87" customWidth="1"/>
    <col min="34" max="34" width="10.5" style="88" customWidth="1"/>
    <col min="35" max="35" width="9.875" style="87" customWidth="1"/>
    <col min="36" max="36" width="10.5" style="88" customWidth="1"/>
    <col min="37" max="37" width="8.625" style="87" customWidth="1"/>
    <col min="38" max="38" width="10.5" style="88" customWidth="1"/>
    <col min="39" max="39" width="9.875" style="87" customWidth="1"/>
    <col min="40" max="40" width="10.5" style="88" customWidth="1"/>
    <col min="41" max="41" width="12.25" style="86" customWidth="1"/>
    <col min="42" max="16384" width="9" style="86"/>
  </cols>
  <sheetData>
    <row r="1" spans="1:45" s="89" customFormat="1">
      <c r="A1" s="306"/>
      <c r="B1" s="307" t="s">
        <v>76</v>
      </c>
      <c r="C1" s="308"/>
      <c r="D1" s="309"/>
      <c r="E1" s="130" t="s">
        <v>647</v>
      </c>
      <c r="F1" s="131"/>
      <c r="G1" s="131"/>
      <c r="H1" s="131"/>
      <c r="I1" s="130" t="s">
        <v>648</v>
      </c>
      <c r="J1" s="131"/>
      <c r="K1" s="131"/>
      <c r="L1" s="131"/>
      <c r="M1" s="130" t="s">
        <v>204</v>
      </c>
      <c r="N1" s="131"/>
      <c r="O1" s="131"/>
      <c r="P1" s="131"/>
      <c r="Q1" s="130" t="s">
        <v>205</v>
      </c>
      <c r="R1" s="131"/>
      <c r="S1" s="131"/>
      <c r="T1" s="131"/>
      <c r="U1" s="130" t="s">
        <v>206</v>
      </c>
      <c r="V1" s="131"/>
      <c r="W1" s="131"/>
      <c r="X1" s="131"/>
      <c r="Y1" s="130" t="s">
        <v>207</v>
      </c>
      <c r="Z1" s="131"/>
      <c r="AA1" s="131"/>
      <c r="AB1" s="131"/>
      <c r="AC1" s="130" t="s">
        <v>208</v>
      </c>
      <c r="AD1" s="131"/>
      <c r="AE1" s="131"/>
      <c r="AF1" s="131"/>
      <c r="AG1" s="130" t="s">
        <v>649</v>
      </c>
      <c r="AH1" s="131"/>
      <c r="AI1" s="131"/>
      <c r="AJ1" s="131"/>
      <c r="AK1" s="130" t="s">
        <v>636</v>
      </c>
      <c r="AL1" s="131"/>
      <c r="AM1" s="131"/>
      <c r="AN1" s="131"/>
      <c r="AP1" s="296"/>
      <c r="AQ1" s="296"/>
      <c r="AR1" s="296"/>
      <c r="AS1" s="296"/>
    </row>
    <row r="2" spans="1:45" s="68" customFormat="1">
      <c r="A2" s="310"/>
      <c r="B2" s="311"/>
      <c r="C2" s="312"/>
      <c r="D2" s="313"/>
      <c r="E2" s="314" t="s">
        <v>634</v>
      </c>
      <c r="F2" s="315" t="s">
        <v>634</v>
      </c>
      <c r="G2" s="316" t="s">
        <v>635</v>
      </c>
      <c r="H2" s="315" t="s">
        <v>635</v>
      </c>
      <c r="I2" s="314" t="s">
        <v>634</v>
      </c>
      <c r="J2" s="315" t="s">
        <v>634</v>
      </c>
      <c r="K2" s="316" t="s">
        <v>635</v>
      </c>
      <c r="L2" s="315" t="s">
        <v>635</v>
      </c>
      <c r="M2" s="314" t="s">
        <v>634</v>
      </c>
      <c r="N2" s="315" t="s">
        <v>634</v>
      </c>
      <c r="O2" s="316" t="s">
        <v>635</v>
      </c>
      <c r="P2" s="315" t="s">
        <v>635</v>
      </c>
      <c r="Q2" s="314" t="s">
        <v>634</v>
      </c>
      <c r="R2" s="315" t="s">
        <v>634</v>
      </c>
      <c r="S2" s="316" t="s">
        <v>635</v>
      </c>
      <c r="T2" s="315" t="s">
        <v>635</v>
      </c>
      <c r="U2" s="314" t="s">
        <v>634</v>
      </c>
      <c r="V2" s="315" t="s">
        <v>634</v>
      </c>
      <c r="W2" s="316" t="s">
        <v>635</v>
      </c>
      <c r="X2" s="315" t="s">
        <v>635</v>
      </c>
      <c r="Y2" s="314" t="s">
        <v>634</v>
      </c>
      <c r="Z2" s="315" t="s">
        <v>634</v>
      </c>
      <c r="AA2" s="316" t="s">
        <v>635</v>
      </c>
      <c r="AB2" s="315" t="s">
        <v>635</v>
      </c>
      <c r="AC2" s="314" t="s">
        <v>634</v>
      </c>
      <c r="AD2" s="315" t="s">
        <v>634</v>
      </c>
      <c r="AE2" s="316" t="s">
        <v>635</v>
      </c>
      <c r="AF2" s="315" t="s">
        <v>635</v>
      </c>
      <c r="AG2" s="314" t="s">
        <v>634</v>
      </c>
      <c r="AH2" s="315" t="s">
        <v>634</v>
      </c>
      <c r="AI2" s="316" t="s">
        <v>635</v>
      </c>
      <c r="AJ2" s="315" t="s">
        <v>635</v>
      </c>
      <c r="AK2" s="314" t="s">
        <v>634</v>
      </c>
      <c r="AL2" s="315" t="s">
        <v>634</v>
      </c>
      <c r="AM2" s="316" t="s">
        <v>635</v>
      </c>
      <c r="AN2" s="315" t="s">
        <v>635</v>
      </c>
      <c r="AP2" s="297"/>
      <c r="AQ2" s="294"/>
      <c r="AR2" s="297"/>
      <c r="AS2" s="294"/>
    </row>
    <row r="3" spans="1:45" s="68" customFormat="1">
      <c r="A3" s="310"/>
      <c r="B3" s="317"/>
      <c r="C3" s="318" t="s">
        <v>650</v>
      </c>
      <c r="D3" s="313"/>
      <c r="E3" s="314" t="s">
        <v>633</v>
      </c>
      <c r="F3" s="319" t="s">
        <v>633</v>
      </c>
      <c r="G3" s="316" t="s">
        <v>633</v>
      </c>
      <c r="H3" s="319" t="s">
        <v>633</v>
      </c>
      <c r="I3" s="314" t="s">
        <v>633</v>
      </c>
      <c r="J3" s="319" t="s">
        <v>633</v>
      </c>
      <c r="K3" s="316" t="s">
        <v>633</v>
      </c>
      <c r="L3" s="319" t="s">
        <v>633</v>
      </c>
      <c r="M3" s="314" t="s">
        <v>633</v>
      </c>
      <c r="N3" s="319" t="s">
        <v>633</v>
      </c>
      <c r="O3" s="316" t="s">
        <v>633</v>
      </c>
      <c r="P3" s="319" t="s">
        <v>633</v>
      </c>
      <c r="Q3" s="314" t="s">
        <v>633</v>
      </c>
      <c r="R3" s="319" t="s">
        <v>633</v>
      </c>
      <c r="S3" s="316" t="s">
        <v>633</v>
      </c>
      <c r="T3" s="319" t="s">
        <v>633</v>
      </c>
      <c r="U3" s="314" t="s">
        <v>633</v>
      </c>
      <c r="V3" s="319" t="s">
        <v>633</v>
      </c>
      <c r="W3" s="316" t="s">
        <v>633</v>
      </c>
      <c r="X3" s="319" t="s">
        <v>633</v>
      </c>
      <c r="Y3" s="314" t="s">
        <v>633</v>
      </c>
      <c r="Z3" s="319" t="s">
        <v>633</v>
      </c>
      <c r="AA3" s="316" t="s">
        <v>633</v>
      </c>
      <c r="AB3" s="319" t="s">
        <v>633</v>
      </c>
      <c r="AC3" s="314" t="s">
        <v>633</v>
      </c>
      <c r="AD3" s="319" t="s">
        <v>633</v>
      </c>
      <c r="AE3" s="316" t="s">
        <v>633</v>
      </c>
      <c r="AF3" s="319" t="s">
        <v>633</v>
      </c>
      <c r="AG3" s="314" t="s">
        <v>633</v>
      </c>
      <c r="AH3" s="319" t="s">
        <v>633</v>
      </c>
      <c r="AI3" s="316" t="s">
        <v>633</v>
      </c>
      <c r="AJ3" s="319" t="s">
        <v>633</v>
      </c>
      <c r="AK3" s="314" t="s">
        <v>633</v>
      </c>
      <c r="AL3" s="319" t="s">
        <v>633</v>
      </c>
      <c r="AM3" s="316" t="s">
        <v>633</v>
      </c>
      <c r="AN3" s="319" t="s">
        <v>633</v>
      </c>
      <c r="AP3" s="297"/>
      <c r="AQ3" s="294"/>
      <c r="AR3" s="297"/>
      <c r="AS3" s="294"/>
    </row>
    <row r="4" spans="1:45" s="68" customFormat="1">
      <c r="A4" s="318" t="s">
        <v>633</v>
      </c>
      <c r="B4" s="320" t="s">
        <v>218</v>
      </c>
      <c r="C4" s="318" t="s">
        <v>219</v>
      </c>
      <c r="D4" s="318" t="s">
        <v>220</v>
      </c>
      <c r="E4" s="133" t="s">
        <v>77</v>
      </c>
      <c r="F4" s="295" t="s">
        <v>1045</v>
      </c>
      <c r="G4" s="134" t="s">
        <v>77</v>
      </c>
      <c r="H4" s="295" t="s">
        <v>1045</v>
      </c>
      <c r="I4" s="133" t="s">
        <v>77</v>
      </c>
      <c r="J4" s="295" t="s">
        <v>1045</v>
      </c>
      <c r="K4" s="134" t="s">
        <v>77</v>
      </c>
      <c r="L4" s="295" t="s">
        <v>1045</v>
      </c>
      <c r="M4" s="133" t="s">
        <v>77</v>
      </c>
      <c r="N4" s="295" t="s">
        <v>1045</v>
      </c>
      <c r="O4" s="134" t="s">
        <v>77</v>
      </c>
      <c r="P4" s="295" t="s">
        <v>1045</v>
      </c>
      <c r="Q4" s="133" t="s">
        <v>77</v>
      </c>
      <c r="R4" s="295" t="s">
        <v>1045</v>
      </c>
      <c r="S4" s="134" t="s">
        <v>77</v>
      </c>
      <c r="T4" s="295" t="s">
        <v>1045</v>
      </c>
      <c r="U4" s="133" t="s">
        <v>77</v>
      </c>
      <c r="V4" s="295" t="s">
        <v>1045</v>
      </c>
      <c r="W4" s="134" t="s">
        <v>77</v>
      </c>
      <c r="X4" s="295" t="s">
        <v>1045</v>
      </c>
      <c r="Y4" s="133" t="s">
        <v>77</v>
      </c>
      <c r="Z4" s="295" t="s">
        <v>1045</v>
      </c>
      <c r="AA4" s="134" t="s">
        <v>77</v>
      </c>
      <c r="AB4" s="295" t="s">
        <v>1045</v>
      </c>
      <c r="AC4" s="133" t="s">
        <v>77</v>
      </c>
      <c r="AD4" s="295" t="s">
        <v>1045</v>
      </c>
      <c r="AE4" s="134" t="s">
        <v>77</v>
      </c>
      <c r="AF4" s="295" t="s">
        <v>1045</v>
      </c>
      <c r="AG4" s="133" t="s">
        <v>77</v>
      </c>
      <c r="AH4" s="295" t="s">
        <v>1045</v>
      </c>
      <c r="AI4" s="134" t="s">
        <v>77</v>
      </c>
      <c r="AJ4" s="295" t="s">
        <v>1045</v>
      </c>
      <c r="AK4" s="133" t="s">
        <v>77</v>
      </c>
      <c r="AL4" s="295" t="s">
        <v>1045</v>
      </c>
      <c r="AM4" s="134" t="s">
        <v>77</v>
      </c>
      <c r="AN4" s="295" t="s">
        <v>1045</v>
      </c>
      <c r="AP4" s="298"/>
      <c r="AQ4" s="295"/>
      <c r="AR4" s="298"/>
      <c r="AS4" s="295"/>
    </row>
    <row r="5" spans="1:45" s="82" customFormat="1" ht="23.25" customHeight="1">
      <c r="A5" s="321" t="s">
        <v>633</v>
      </c>
      <c r="B5" s="322" t="s">
        <v>23</v>
      </c>
      <c r="C5" s="321" t="s">
        <v>24</v>
      </c>
      <c r="D5" s="321" t="s">
        <v>213</v>
      </c>
      <c r="E5" s="124" t="s">
        <v>25</v>
      </c>
      <c r="F5" s="124" t="s">
        <v>26</v>
      </c>
      <c r="G5" s="124" t="s">
        <v>27</v>
      </c>
      <c r="H5" s="124" t="s">
        <v>28</v>
      </c>
      <c r="I5" s="124" t="s">
        <v>29</v>
      </c>
      <c r="J5" s="124" t="s">
        <v>31</v>
      </c>
      <c r="K5" s="124" t="s">
        <v>30</v>
      </c>
      <c r="L5" s="124" t="s">
        <v>32</v>
      </c>
      <c r="M5" s="124" t="s">
        <v>33</v>
      </c>
      <c r="N5" s="124" t="s">
        <v>34</v>
      </c>
      <c r="O5" s="124" t="s">
        <v>35</v>
      </c>
      <c r="P5" s="124" t="s">
        <v>36</v>
      </c>
      <c r="Q5" s="124" t="s">
        <v>37</v>
      </c>
      <c r="R5" s="124" t="s">
        <v>38</v>
      </c>
      <c r="S5" s="124" t="s">
        <v>39</v>
      </c>
      <c r="T5" s="124" t="s">
        <v>40</v>
      </c>
      <c r="U5" s="124" t="s">
        <v>41</v>
      </c>
      <c r="V5" s="124" t="s">
        <v>42</v>
      </c>
      <c r="W5" s="124" t="s">
        <v>43</v>
      </c>
      <c r="X5" s="124" t="s">
        <v>44</v>
      </c>
      <c r="Y5" s="124" t="s">
        <v>45</v>
      </c>
      <c r="Z5" s="124" t="s">
        <v>46</v>
      </c>
      <c r="AA5" s="124" t="s">
        <v>47</v>
      </c>
      <c r="AB5" s="124" t="s">
        <v>48</v>
      </c>
      <c r="AC5" s="124" t="s">
        <v>49</v>
      </c>
      <c r="AD5" s="124" t="s">
        <v>50</v>
      </c>
      <c r="AE5" s="124" t="s">
        <v>51</v>
      </c>
      <c r="AF5" s="124" t="s">
        <v>52</v>
      </c>
      <c r="AG5" s="124" t="s">
        <v>53</v>
      </c>
      <c r="AH5" s="124" t="s">
        <v>54</v>
      </c>
      <c r="AI5" s="124" t="s">
        <v>281</v>
      </c>
      <c r="AJ5" s="124" t="s">
        <v>282</v>
      </c>
      <c r="AK5" s="124" t="s">
        <v>283</v>
      </c>
      <c r="AL5" s="124" t="s">
        <v>284</v>
      </c>
      <c r="AM5" s="124" t="s">
        <v>285</v>
      </c>
      <c r="AN5" s="124" t="s">
        <v>286</v>
      </c>
      <c r="AP5" s="298"/>
      <c r="AQ5" s="298"/>
      <c r="AR5" s="298"/>
      <c r="AS5" s="298"/>
    </row>
    <row r="6" spans="1:45" s="125" customFormat="1">
      <c r="A6" s="135" t="s">
        <v>632</v>
      </c>
      <c r="B6" s="136" t="s">
        <v>157</v>
      </c>
      <c r="C6" s="137">
        <v>100858</v>
      </c>
      <c r="D6" s="137">
        <v>1</v>
      </c>
      <c r="E6" s="323">
        <v>6500</v>
      </c>
      <c r="F6" s="324">
        <v>6972</v>
      </c>
      <c r="G6" s="325">
        <v>18260</v>
      </c>
      <c r="H6" s="324">
        <v>19452</v>
      </c>
      <c r="I6" s="323">
        <v>6452</v>
      </c>
      <c r="J6" s="324">
        <v>6924</v>
      </c>
      <c r="K6" s="325">
        <v>18212</v>
      </c>
      <c r="L6" s="324">
        <v>19404</v>
      </c>
      <c r="M6" s="323"/>
      <c r="N6" s="324"/>
      <c r="O6" s="325"/>
      <c r="P6" s="324"/>
      <c r="Q6" s="323"/>
      <c r="R6" s="324"/>
      <c r="S6" s="325"/>
      <c r="T6" s="324"/>
      <c r="U6" s="323"/>
      <c r="V6" s="324"/>
      <c r="W6" s="325"/>
      <c r="X6" s="324"/>
      <c r="Y6" s="323">
        <v>14826</v>
      </c>
      <c r="Z6" s="324">
        <v>15298</v>
      </c>
      <c r="AA6" s="325">
        <v>26586</v>
      </c>
      <c r="AB6" s="324">
        <v>27778</v>
      </c>
      <c r="AC6" s="323"/>
      <c r="AD6" s="324"/>
      <c r="AE6" s="325"/>
      <c r="AF6" s="324"/>
      <c r="AG6" s="323"/>
      <c r="AH6" s="324"/>
      <c r="AI6" s="325"/>
      <c r="AJ6" s="324"/>
      <c r="AK6" s="323">
        <v>11620</v>
      </c>
      <c r="AL6" s="324">
        <v>12412</v>
      </c>
      <c r="AM6" s="325">
        <v>34100</v>
      </c>
      <c r="AN6" s="324">
        <v>36252</v>
      </c>
      <c r="AP6" s="299"/>
      <c r="AQ6" s="299"/>
      <c r="AR6" s="299"/>
      <c r="AS6" s="299"/>
    </row>
    <row r="7" spans="1:45">
      <c r="A7" s="135" t="s">
        <v>632</v>
      </c>
      <c r="B7" s="136" t="s">
        <v>158</v>
      </c>
      <c r="C7" s="137">
        <v>100751</v>
      </c>
      <c r="D7" s="137">
        <v>1</v>
      </c>
      <c r="E7" s="323">
        <v>6400</v>
      </c>
      <c r="F7" s="324">
        <v>7000</v>
      </c>
      <c r="G7" s="325">
        <v>18000</v>
      </c>
      <c r="H7" s="324">
        <v>19200</v>
      </c>
      <c r="I7" s="323">
        <v>6400</v>
      </c>
      <c r="J7" s="324">
        <v>7000</v>
      </c>
      <c r="K7" s="325">
        <v>18000</v>
      </c>
      <c r="L7" s="324">
        <v>19200</v>
      </c>
      <c r="M7" s="323">
        <v>12564</v>
      </c>
      <c r="N7" s="324">
        <v>14450</v>
      </c>
      <c r="O7" s="325">
        <v>24158</v>
      </c>
      <c r="P7" s="324">
        <v>26560</v>
      </c>
      <c r="Q7" s="323">
        <v>16731</v>
      </c>
      <c r="R7" s="324">
        <v>18140</v>
      </c>
      <c r="S7" s="325">
        <v>47239</v>
      </c>
      <c r="T7" s="324">
        <v>51394</v>
      </c>
      <c r="U7" s="323"/>
      <c r="V7" s="324"/>
      <c r="W7" s="325"/>
      <c r="X7" s="324"/>
      <c r="Y7" s="323"/>
      <c r="Z7" s="324"/>
      <c r="AA7" s="325"/>
      <c r="AB7" s="324"/>
      <c r="AC7" s="323"/>
      <c r="AD7" s="324"/>
      <c r="AE7" s="325"/>
      <c r="AF7" s="324"/>
      <c r="AG7" s="323"/>
      <c r="AH7" s="324"/>
      <c r="AI7" s="325"/>
      <c r="AJ7" s="324"/>
      <c r="AK7" s="323"/>
      <c r="AL7" s="324"/>
      <c r="AM7" s="325"/>
      <c r="AN7" s="324"/>
    </row>
    <row r="8" spans="1:45">
      <c r="A8" s="135" t="s">
        <v>632</v>
      </c>
      <c r="B8" s="138" t="s">
        <v>159</v>
      </c>
      <c r="C8" s="137">
        <v>100663</v>
      </c>
      <c r="D8" s="137">
        <v>1</v>
      </c>
      <c r="E8" s="323">
        <v>5756</v>
      </c>
      <c r="F8" s="324">
        <v>6296</v>
      </c>
      <c r="G8" s="325">
        <v>12866</v>
      </c>
      <c r="H8" s="324">
        <v>14216</v>
      </c>
      <c r="I8" s="323">
        <v>5768</v>
      </c>
      <c r="J8" s="324">
        <v>6320</v>
      </c>
      <c r="K8" s="325">
        <v>13112</v>
      </c>
      <c r="L8" s="324">
        <v>14504</v>
      </c>
      <c r="M8" s="323"/>
      <c r="N8" s="324"/>
      <c r="O8" s="325"/>
      <c r="P8" s="324"/>
      <c r="Q8" s="323">
        <v>17103</v>
      </c>
      <c r="R8" s="324">
        <v>18512</v>
      </c>
      <c r="S8" s="325">
        <v>47611</v>
      </c>
      <c r="T8" s="324">
        <v>51766</v>
      </c>
      <c r="U8" s="323">
        <v>15388</v>
      </c>
      <c r="V8" s="324">
        <v>17452</v>
      </c>
      <c r="W8" s="325">
        <v>41940</v>
      </c>
      <c r="X8" s="324">
        <v>47988</v>
      </c>
      <c r="Y8" s="323"/>
      <c r="Z8" s="324"/>
      <c r="AA8" s="325"/>
      <c r="AB8" s="324"/>
      <c r="AC8" s="323">
        <v>16629</v>
      </c>
      <c r="AD8" s="324">
        <v>17787</v>
      </c>
      <c r="AE8" s="325">
        <v>43311</v>
      </c>
      <c r="AF8" s="324">
        <v>46605</v>
      </c>
      <c r="AG8" s="323"/>
      <c r="AH8" s="324"/>
      <c r="AI8" s="325"/>
      <c r="AJ8" s="324"/>
      <c r="AK8" s="323"/>
      <c r="AL8" s="324"/>
      <c r="AM8" s="325"/>
      <c r="AN8" s="324"/>
    </row>
    <row r="9" spans="1:45">
      <c r="A9" s="135" t="s">
        <v>632</v>
      </c>
      <c r="B9" s="138" t="s">
        <v>160</v>
      </c>
      <c r="C9" s="137">
        <v>100706</v>
      </c>
      <c r="D9" s="137">
        <v>2</v>
      </c>
      <c r="E9" s="323">
        <v>5952</v>
      </c>
      <c r="F9" s="324">
        <v>6510</v>
      </c>
      <c r="G9" s="325">
        <v>13092</v>
      </c>
      <c r="H9" s="324">
        <v>15628</v>
      </c>
      <c r="I9" s="323">
        <v>7344</v>
      </c>
      <c r="J9" s="324">
        <v>8030</v>
      </c>
      <c r="K9" s="325">
        <v>16154</v>
      </c>
      <c r="L9" s="324">
        <v>19272</v>
      </c>
      <c r="M9" s="323"/>
      <c r="N9" s="324"/>
      <c r="O9" s="325"/>
      <c r="P9" s="324"/>
      <c r="Q9" s="323"/>
      <c r="R9" s="324"/>
      <c r="S9" s="325"/>
      <c r="T9" s="324"/>
      <c r="U9" s="323"/>
      <c r="V9" s="324"/>
      <c r="W9" s="325"/>
      <c r="X9" s="324"/>
      <c r="Y9" s="323"/>
      <c r="Z9" s="324"/>
      <c r="AA9" s="325"/>
      <c r="AB9" s="324"/>
      <c r="AC9" s="323"/>
      <c r="AD9" s="324"/>
      <c r="AE9" s="325"/>
      <c r="AF9" s="324"/>
      <c r="AG9" s="323"/>
      <c r="AH9" s="324"/>
      <c r="AI9" s="325"/>
      <c r="AJ9" s="324"/>
      <c r="AK9" s="323"/>
      <c r="AL9" s="324"/>
      <c r="AM9" s="325"/>
      <c r="AN9" s="324"/>
    </row>
    <row r="10" spans="1:45">
      <c r="A10" s="135" t="s">
        <v>632</v>
      </c>
      <c r="B10" s="136" t="s">
        <v>161</v>
      </c>
      <c r="C10" s="137">
        <v>100654</v>
      </c>
      <c r="D10" s="137">
        <v>3</v>
      </c>
      <c r="E10" s="323">
        <v>4930</v>
      </c>
      <c r="F10" s="324">
        <v>5670</v>
      </c>
      <c r="G10" s="325">
        <v>9220</v>
      </c>
      <c r="H10" s="324">
        <v>10604</v>
      </c>
      <c r="I10" s="323">
        <v>5882</v>
      </c>
      <c r="J10" s="324">
        <v>6764</v>
      </c>
      <c r="K10" s="325">
        <v>11114</v>
      </c>
      <c r="L10" s="324">
        <v>12782</v>
      </c>
      <c r="M10" s="323"/>
      <c r="N10" s="324"/>
      <c r="O10" s="325"/>
      <c r="P10" s="324"/>
      <c r="Q10" s="323"/>
      <c r="R10" s="324"/>
      <c r="S10" s="325"/>
      <c r="T10" s="324"/>
      <c r="U10" s="323"/>
      <c r="V10" s="324"/>
      <c r="W10" s="325"/>
      <c r="X10" s="324"/>
      <c r="Y10" s="323"/>
      <c r="Z10" s="324"/>
      <c r="AA10" s="325"/>
      <c r="AB10" s="324"/>
      <c r="AC10" s="323"/>
      <c r="AD10" s="324"/>
      <c r="AE10" s="325"/>
      <c r="AF10" s="324"/>
      <c r="AG10" s="323"/>
      <c r="AH10" s="324"/>
      <c r="AI10" s="325"/>
      <c r="AJ10" s="324"/>
      <c r="AK10" s="323"/>
      <c r="AL10" s="324"/>
      <c r="AM10" s="325"/>
      <c r="AN10" s="324"/>
      <c r="AO10" s="453"/>
      <c r="AP10" s="453"/>
      <c r="AQ10" s="453"/>
      <c r="AR10" s="453"/>
      <c r="AS10" s="453"/>
    </row>
    <row r="11" spans="1:45">
      <c r="A11" s="135" t="s">
        <v>632</v>
      </c>
      <c r="B11" s="136" t="s">
        <v>162</v>
      </c>
      <c r="C11" s="137">
        <v>101480</v>
      </c>
      <c r="D11" s="137">
        <v>3</v>
      </c>
      <c r="E11" s="323">
        <v>5700</v>
      </c>
      <c r="F11" s="324">
        <v>6240</v>
      </c>
      <c r="G11" s="325">
        <v>11400</v>
      </c>
      <c r="H11" s="324">
        <v>12480</v>
      </c>
      <c r="I11" s="323">
        <v>6000</v>
      </c>
      <c r="J11" s="324">
        <v>6576</v>
      </c>
      <c r="K11" s="325">
        <v>12000</v>
      </c>
      <c r="L11" s="324">
        <v>13152</v>
      </c>
      <c r="M11" s="323"/>
      <c r="N11" s="324"/>
      <c r="O11" s="325"/>
      <c r="P11" s="324"/>
      <c r="Q11" s="323"/>
      <c r="R11" s="324"/>
      <c r="S11" s="325"/>
      <c r="T11" s="324"/>
      <c r="U11" s="323"/>
      <c r="V11" s="324"/>
      <c r="W11" s="325"/>
      <c r="X11" s="324"/>
      <c r="Y11" s="323"/>
      <c r="Z11" s="324"/>
      <c r="AA11" s="325"/>
      <c r="AB11" s="324"/>
      <c r="AC11" s="323"/>
      <c r="AD11" s="324"/>
      <c r="AE11" s="325"/>
      <c r="AF11" s="324"/>
      <c r="AG11" s="323"/>
      <c r="AH11" s="324"/>
      <c r="AI11" s="325"/>
      <c r="AJ11" s="324"/>
      <c r="AK11" s="323"/>
      <c r="AL11" s="324"/>
      <c r="AM11" s="325"/>
      <c r="AN11" s="324"/>
    </row>
    <row r="12" spans="1:45">
      <c r="A12" s="135" t="s">
        <v>632</v>
      </c>
      <c r="B12" s="136" t="s">
        <v>163</v>
      </c>
      <c r="C12" s="139">
        <v>102368</v>
      </c>
      <c r="D12" s="139">
        <v>3</v>
      </c>
      <c r="E12" s="323">
        <v>5590</v>
      </c>
      <c r="F12" s="324">
        <v>6130</v>
      </c>
      <c r="G12" s="325">
        <v>10900</v>
      </c>
      <c r="H12" s="324">
        <v>11920</v>
      </c>
      <c r="I12" s="323">
        <v>5080</v>
      </c>
      <c r="J12" s="324">
        <v>5572</v>
      </c>
      <c r="K12" s="325">
        <v>9880</v>
      </c>
      <c r="L12" s="324">
        <v>10852</v>
      </c>
      <c r="M12" s="323"/>
      <c r="N12" s="324"/>
      <c r="O12" s="325"/>
      <c r="P12" s="324"/>
      <c r="Q12" s="323"/>
      <c r="R12" s="324"/>
      <c r="S12" s="325"/>
      <c r="T12" s="324"/>
      <c r="U12" s="323"/>
      <c r="V12" s="324"/>
      <c r="W12" s="325"/>
      <c r="X12" s="324"/>
      <c r="Y12" s="323"/>
      <c r="Z12" s="324"/>
      <c r="AA12" s="325"/>
      <c r="AB12" s="324"/>
      <c r="AC12" s="323"/>
      <c r="AD12" s="324"/>
      <c r="AE12" s="325"/>
      <c r="AF12" s="324"/>
      <c r="AG12" s="323"/>
      <c r="AH12" s="324"/>
      <c r="AI12" s="325"/>
      <c r="AJ12" s="324"/>
      <c r="AK12" s="323"/>
      <c r="AL12" s="324"/>
      <c r="AM12" s="325"/>
      <c r="AN12" s="324"/>
    </row>
    <row r="13" spans="1:45">
      <c r="A13" s="135" t="s">
        <v>632</v>
      </c>
      <c r="B13" s="136" t="s">
        <v>164</v>
      </c>
      <c r="C13" s="137">
        <v>102094</v>
      </c>
      <c r="D13" s="572">
        <v>3</v>
      </c>
      <c r="E13" s="323">
        <v>5512</v>
      </c>
      <c r="F13" s="324">
        <v>5962</v>
      </c>
      <c r="G13" s="325">
        <v>9922</v>
      </c>
      <c r="H13" s="324">
        <v>11302</v>
      </c>
      <c r="I13" s="323">
        <v>5758</v>
      </c>
      <c r="J13" s="324">
        <v>6334</v>
      </c>
      <c r="K13" s="325">
        <v>10414</v>
      </c>
      <c r="L13" s="324">
        <v>12142</v>
      </c>
      <c r="M13" s="323"/>
      <c r="N13" s="324"/>
      <c r="O13" s="325"/>
      <c r="P13" s="324"/>
      <c r="Q13" s="323">
        <v>17740</v>
      </c>
      <c r="R13" s="324">
        <v>19596</v>
      </c>
      <c r="S13" s="325">
        <v>33088</v>
      </c>
      <c r="T13" s="324">
        <v>37035</v>
      </c>
      <c r="U13" s="323"/>
      <c r="V13" s="324"/>
      <c r="W13" s="325"/>
      <c r="X13" s="324"/>
      <c r="Y13" s="323"/>
      <c r="Z13" s="324"/>
      <c r="AA13" s="325"/>
      <c r="AB13" s="324"/>
      <c r="AC13" s="323"/>
      <c r="AD13" s="324"/>
      <c r="AE13" s="325"/>
      <c r="AF13" s="324"/>
      <c r="AG13" s="323"/>
      <c r="AH13" s="324"/>
      <c r="AI13" s="325"/>
      <c r="AJ13" s="324"/>
      <c r="AK13" s="323"/>
      <c r="AL13" s="324"/>
      <c r="AM13" s="325"/>
      <c r="AN13" s="324"/>
    </row>
    <row r="14" spans="1:45">
      <c r="A14" s="135" t="s">
        <v>632</v>
      </c>
      <c r="B14" s="138" t="s">
        <v>165</v>
      </c>
      <c r="C14" s="137">
        <v>100724</v>
      </c>
      <c r="D14" s="137">
        <v>4</v>
      </c>
      <c r="E14" s="323">
        <v>5460</v>
      </c>
      <c r="F14" s="324">
        <v>6468</v>
      </c>
      <c r="G14" s="325">
        <v>10068</v>
      </c>
      <c r="H14" s="324">
        <v>12084</v>
      </c>
      <c r="I14" s="323">
        <v>6180</v>
      </c>
      <c r="J14" s="324">
        <v>7524</v>
      </c>
      <c r="K14" s="325">
        <v>11508</v>
      </c>
      <c r="L14" s="324">
        <v>14196</v>
      </c>
      <c r="M14" s="323"/>
      <c r="N14" s="324"/>
      <c r="O14" s="325"/>
      <c r="P14" s="324"/>
      <c r="Q14" s="323"/>
      <c r="R14" s="324"/>
      <c r="S14" s="325"/>
      <c r="T14" s="324"/>
      <c r="U14" s="323"/>
      <c r="V14" s="324"/>
      <c r="W14" s="325"/>
      <c r="X14" s="324"/>
      <c r="Y14" s="323"/>
      <c r="Z14" s="324"/>
      <c r="AA14" s="325"/>
      <c r="AB14" s="324"/>
      <c r="AC14" s="323"/>
      <c r="AD14" s="324"/>
      <c r="AE14" s="325"/>
      <c r="AF14" s="324"/>
      <c r="AG14" s="323"/>
      <c r="AH14" s="324"/>
      <c r="AI14" s="325"/>
      <c r="AJ14" s="324"/>
      <c r="AK14" s="323"/>
      <c r="AL14" s="324"/>
      <c r="AM14" s="325"/>
      <c r="AN14" s="324"/>
    </row>
    <row r="15" spans="1:45">
      <c r="A15" s="135" t="s">
        <v>632</v>
      </c>
      <c r="B15" s="136" t="s">
        <v>166</v>
      </c>
      <c r="C15" s="137">
        <v>100830</v>
      </c>
      <c r="D15" s="137">
        <v>4</v>
      </c>
      <c r="E15" s="323">
        <v>5580</v>
      </c>
      <c r="F15" s="324">
        <v>5970</v>
      </c>
      <c r="G15" s="325">
        <v>16200</v>
      </c>
      <c r="H15" s="324">
        <v>17250</v>
      </c>
      <c r="I15" s="323">
        <v>5322</v>
      </c>
      <c r="J15" s="324">
        <v>5682</v>
      </c>
      <c r="K15" s="325">
        <v>15498</v>
      </c>
      <c r="L15" s="324">
        <v>16482</v>
      </c>
      <c r="M15" s="323"/>
      <c r="N15" s="324"/>
      <c r="O15" s="325"/>
      <c r="P15" s="324"/>
      <c r="Q15" s="323"/>
      <c r="R15" s="324"/>
      <c r="S15" s="325"/>
      <c r="T15" s="324"/>
      <c r="U15" s="323"/>
      <c r="V15" s="324"/>
      <c r="W15" s="325"/>
      <c r="X15" s="324"/>
      <c r="Y15" s="323"/>
      <c r="Z15" s="324"/>
      <c r="AA15" s="325"/>
      <c r="AB15" s="324"/>
      <c r="AC15" s="323"/>
      <c r="AD15" s="324"/>
      <c r="AE15" s="325"/>
      <c r="AF15" s="324"/>
      <c r="AG15" s="323"/>
      <c r="AH15" s="324"/>
      <c r="AI15" s="325"/>
      <c r="AJ15" s="324"/>
      <c r="AK15" s="323"/>
      <c r="AL15" s="324"/>
      <c r="AM15" s="325"/>
      <c r="AN15" s="324"/>
    </row>
    <row r="16" spans="1:45">
      <c r="A16" s="135" t="s">
        <v>632</v>
      </c>
      <c r="B16" s="136" t="s">
        <v>167</v>
      </c>
      <c r="C16" s="137">
        <v>101879</v>
      </c>
      <c r="D16" s="572">
        <v>4</v>
      </c>
      <c r="E16" s="323">
        <v>5598</v>
      </c>
      <c r="F16" s="324">
        <v>6042</v>
      </c>
      <c r="G16" s="325">
        <v>10188</v>
      </c>
      <c r="H16" s="324">
        <v>11052</v>
      </c>
      <c r="I16" s="323">
        <v>5586</v>
      </c>
      <c r="J16" s="324">
        <v>5946</v>
      </c>
      <c r="K16" s="325">
        <v>10290</v>
      </c>
      <c r="L16" s="324">
        <v>10986</v>
      </c>
      <c r="M16" s="323"/>
      <c r="N16" s="324"/>
      <c r="O16" s="325"/>
      <c r="P16" s="324"/>
      <c r="Q16" s="323"/>
      <c r="R16" s="324"/>
      <c r="S16" s="325"/>
      <c r="T16" s="324"/>
      <c r="U16" s="323"/>
      <c r="V16" s="324"/>
      <c r="W16" s="325"/>
      <c r="X16" s="324"/>
      <c r="Y16" s="323"/>
      <c r="Z16" s="324"/>
      <c r="AA16" s="325"/>
      <c r="AB16" s="324"/>
      <c r="AC16" s="323"/>
      <c r="AD16" s="324"/>
      <c r="AE16" s="325"/>
      <c r="AF16" s="324"/>
      <c r="AG16" s="323"/>
      <c r="AH16" s="324"/>
      <c r="AI16" s="325"/>
      <c r="AJ16" s="324"/>
      <c r="AK16" s="323"/>
      <c r="AL16" s="324"/>
      <c r="AM16" s="325"/>
      <c r="AN16" s="324"/>
    </row>
    <row r="17" spans="1:40">
      <c r="A17" s="135" t="s">
        <v>632</v>
      </c>
      <c r="B17" s="136" t="s">
        <v>168</v>
      </c>
      <c r="C17" s="137">
        <v>101709</v>
      </c>
      <c r="D17" s="137">
        <v>5</v>
      </c>
      <c r="E17" s="323">
        <v>6650</v>
      </c>
      <c r="F17" s="324">
        <v>7010</v>
      </c>
      <c r="G17" s="325">
        <v>12800</v>
      </c>
      <c r="H17" s="324">
        <v>13550</v>
      </c>
      <c r="I17" s="323">
        <v>5762</v>
      </c>
      <c r="J17" s="324">
        <v>6074</v>
      </c>
      <c r="K17" s="325">
        <v>11042</v>
      </c>
      <c r="L17" s="324">
        <v>11666</v>
      </c>
      <c r="M17" s="323"/>
      <c r="N17" s="324"/>
      <c r="O17" s="325"/>
      <c r="P17" s="324"/>
      <c r="Q17" s="323"/>
      <c r="R17" s="324"/>
      <c r="S17" s="325"/>
      <c r="T17" s="324"/>
      <c r="U17" s="323"/>
      <c r="V17" s="324"/>
      <c r="W17" s="325"/>
      <c r="X17" s="324"/>
      <c r="Y17" s="323"/>
      <c r="Z17" s="324"/>
      <c r="AA17" s="325"/>
      <c r="AB17" s="324"/>
      <c r="AC17" s="323"/>
      <c r="AD17" s="324"/>
      <c r="AE17" s="325"/>
      <c r="AF17" s="324"/>
      <c r="AG17" s="323"/>
      <c r="AH17" s="324"/>
      <c r="AI17" s="325"/>
      <c r="AJ17" s="324"/>
      <c r="AK17" s="323"/>
      <c r="AL17" s="324"/>
      <c r="AM17" s="325"/>
      <c r="AN17" s="324"/>
    </row>
    <row r="18" spans="1:40">
      <c r="A18" s="135" t="s">
        <v>632</v>
      </c>
      <c r="B18" s="140" t="s">
        <v>169</v>
      </c>
      <c r="C18" s="135">
        <v>101587</v>
      </c>
      <c r="D18" s="137">
        <v>5</v>
      </c>
      <c r="E18" s="323">
        <v>5100</v>
      </c>
      <c r="F18" s="324">
        <v>5780</v>
      </c>
      <c r="G18" s="325">
        <v>9700</v>
      </c>
      <c r="H18" s="324">
        <v>10840</v>
      </c>
      <c r="I18" s="323">
        <v>5448</v>
      </c>
      <c r="J18" s="324">
        <v>6000</v>
      </c>
      <c r="K18" s="325">
        <v>10776</v>
      </c>
      <c r="L18" s="324">
        <v>11880</v>
      </c>
      <c r="M18" s="323"/>
      <c r="N18" s="324"/>
      <c r="O18" s="325"/>
      <c r="P18" s="324"/>
      <c r="Q18" s="323"/>
      <c r="R18" s="324"/>
      <c r="S18" s="325"/>
      <c r="T18" s="324"/>
      <c r="U18" s="323"/>
      <c r="V18" s="324"/>
      <c r="W18" s="325"/>
      <c r="X18" s="324"/>
      <c r="Y18" s="323"/>
      <c r="Z18" s="324"/>
      <c r="AA18" s="325"/>
      <c r="AB18" s="324"/>
      <c r="AC18" s="323"/>
      <c r="AD18" s="324"/>
      <c r="AE18" s="325"/>
      <c r="AF18" s="324"/>
      <c r="AG18" s="323"/>
      <c r="AH18" s="324"/>
      <c r="AI18" s="325"/>
      <c r="AJ18" s="324"/>
      <c r="AK18" s="323"/>
      <c r="AL18" s="324"/>
      <c r="AM18" s="325"/>
      <c r="AN18" s="324"/>
    </row>
    <row r="19" spans="1:40">
      <c r="A19" s="135" t="s">
        <v>632</v>
      </c>
      <c r="B19" s="136" t="s">
        <v>170</v>
      </c>
      <c r="C19" s="326">
        <v>100812</v>
      </c>
      <c r="D19" s="137">
        <v>6</v>
      </c>
      <c r="E19" s="323">
        <v>4050</v>
      </c>
      <c r="F19" s="324">
        <v>4350</v>
      </c>
      <c r="G19" s="325">
        <v>7350</v>
      </c>
      <c r="H19" s="324">
        <v>7950</v>
      </c>
      <c r="I19" s="323"/>
      <c r="J19" s="324" t="s">
        <v>324</v>
      </c>
      <c r="K19" s="325"/>
      <c r="L19" s="324"/>
      <c r="M19" s="323"/>
      <c r="N19" s="324"/>
      <c r="O19" s="325"/>
      <c r="P19" s="324"/>
      <c r="Q19" s="323"/>
      <c r="R19" s="324"/>
      <c r="S19" s="325"/>
      <c r="T19" s="324"/>
      <c r="U19" s="323"/>
      <c r="V19" s="324"/>
      <c r="W19" s="325"/>
      <c r="X19" s="324"/>
      <c r="Y19" s="323"/>
      <c r="Z19" s="324"/>
      <c r="AA19" s="325"/>
      <c r="AB19" s="324"/>
      <c r="AC19" s="323"/>
      <c r="AD19" s="324"/>
      <c r="AE19" s="325"/>
      <c r="AF19" s="324"/>
      <c r="AG19" s="323"/>
      <c r="AH19" s="324"/>
      <c r="AI19" s="325"/>
      <c r="AJ19" s="324"/>
      <c r="AK19" s="323"/>
      <c r="AL19" s="324"/>
      <c r="AM19" s="325"/>
      <c r="AN19" s="324"/>
    </row>
    <row r="20" spans="1:40">
      <c r="A20" s="135" t="s">
        <v>632</v>
      </c>
      <c r="B20" s="138" t="s">
        <v>171</v>
      </c>
      <c r="C20" s="137">
        <v>101505</v>
      </c>
      <c r="D20" s="137">
        <v>8</v>
      </c>
      <c r="E20" s="323">
        <v>3060</v>
      </c>
      <c r="F20" s="324">
        <v>3060</v>
      </c>
      <c r="G20" s="325">
        <v>5190</v>
      </c>
      <c r="H20" s="324">
        <v>5190</v>
      </c>
      <c r="I20" s="323"/>
      <c r="J20" s="324"/>
      <c r="K20" s="325"/>
      <c r="L20" s="324"/>
      <c r="M20" s="323"/>
      <c r="N20" s="324"/>
      <c r="O20" s="325"/>
      <c r="P20" s="324"/>
      <c r="Q20" s="323"/>
      <c r="R20" s="324"/>
      <c r="S20" s="325"/>
      <c r="T20" s="324"/>
      <c r="U20" s="323"/>
      <c r="V20" s="324"/>
      <c r="W20" s="325"/>
      <c r="X20" s="324"/>
      <c r="Y20" s="323"/>
      <c r="Z20" s="324"/>
      <c r="AA20" s="325"/>
      <c r="AB20" s="324"/>
      <c r="AC20" s="323"/>
      <c r="AD20" s="324"/>
      <c r="AE20" s="325"/>
      <c r="AF20" s="324"/>
      <c r="AG20" s="323"/>
      <c r="AH20" s="324"/>
      <c r="AI20" s="325"/>
      <c r="AJ20" s="324"/>
      <c r="AK20" s="323"/>
      <c r="AL20" s="324"/>
      <c r="AM20" s="325"/>
      <c r="AN20" s="324"/>
    </row>
    <row r="21" spans="1:40">
      <c r="A21" s="135" t="s">
        <v>632</v>
      </c>
      <c r="B21" s="136" t="s">
        <v>172</v>
      </c>
      <c r="C21" s="137">
        <v>101514</v>
      </c>
      <c r="D21" s="137">
        <v>8</v>
      </c>
      <c r="E21" s="323">
        <v>2850</v>
      </c>
      <c r="F21" s="324">
        <v>2850</v>
      </c>
      <c r="G21" s="325">
        <v>4980</v>
      </c>
      <c r="H21" s="324">
        <v>4980</v>
      </c>
      <c r="I21" s="323"/>
      <c r="J21" s="324"/>
      <c r="K21" s="325"/>
      <c r="L21" s="324"/>
      <c r="M21" s="323"/>
      <c r="N21" s="324"/>
      <c r="O21" s="325"/>
      <c r="P21" s="324"/>
      <c r="Q21" s="323"/>
      <c r="R21" s="324"/>
      <c r="S21" s="325"/>
      <c r="T21" s="324"/>
      <c r="U21" s="323"/>
      <c r="V21" s="324"/>
      <c r="W21" s="325"/>
      <c r="X21" s="324"/>
      <c r="Y21" s="323"/>
      <c r="Z21" s="324"/>
      <c r="AA21" s="325"/>
      <c r="AB21" s="324"/>
      <c r="AC21" s="323"/>
      <c r="AD21" s="324"/>
      <c r="AE21" s="325"/>
      <c r="AF21" s="324"/>
      <c r="AG21" s="323"/>
      <c r="AH21" s="324"/>
      <c r="AI21" s="325"/>
      <c r="AJ21" s="324"/>
      <c r="AK21" s="323"/>
      <c r="AL21" s="324"/>
      <c r="AM21" s="325"/>
      <c r="AN21" s="324"/>
    </row>
    <row r="22" spans="1:40">
      <c r="A22" s="135" t="s">
        <v>632</v>
      </c>
      <c r="B22" s="136" t="s">
        <v>173</v>
      </c>
      <c r="C22" s="137">
        <v>102429</v>
      </c>
      <c r="D22" s="137">
        <v>9</v>
      </c>
      <c r="E22" s="323">
        <v>2700</v>
      </c>
      <c r="F22" s="324">
        <v>2700</v>
      </c>
      <c r="G22" s="325">
        <v>4830</v>
      </c>
      <c r="H22" s="324">
        <v>4830</v>
      </c>
      <c r="I22" s="323"/>
      <c r="J22" s="324"/>
      <c r="K22" s="325"/>
      <c r="L22" s="324"/>
      <c r="M22" s="323"/>
      <c r="N22" s="324"/>
      <c r="O22" s="325"/>
      <c r="P22" s="324"/>
      <c r="Q22" s="323"/>
      <c r="R22" s="324"/>
      <c r="S22" s="325"/>
      <c r="T22" s="324"/>
      <c r="U22" s="323"/>
      <c r="V22" s="324"/>
      <c r="W22" s="325"/>
      <c r="X22" s="324"/>
      <c r="Y22" s="323"/>
      <c r="Z22" s="324"/>
      <c r="AA22" s="325"/>
      <c r="AB22" s="324"/>
      <c r="AC22" s="323"/>
      <c r="AD22" s="324"/>
      <c r="AE22" s="325"/>
      <c r="AF22" s="324"/>
      <c r="AG22" s="323"/>
      <c r="AH22" s="324"/>
      <c r="AI22" s="325"/>
      <c r="AJ22" s="324"/>
      <c r="AK22" s="323"/>
      <c r="AL22" s="324"/>
      <c r="AM22" s="325"/>
      <c r="AN22" s="324"/>
    </row>
    <row r="23" spans="1:40">
      <c r="A23" s="135" t="s">
        <v>632</v>
      </c>
      <c r="B23" s="227" t="s">
        <v>174</v>
      </c>
      <c r="C23" s="137">
        <v>102030</v>
      </c>
      <c r="D23" s="137">
        <v>9</v>
      </c>
      <c r="E23" s="323">
        <v>2700</v>
      </c>
      <c r="F23" s="324">
        <v>2700</v>
      </c>
      <c r="G23" s="325">
        <v>4830</v>
      </c>
      <c r="H23" s="324">
        <v>4830</v>
      </c>
      <c r="I23" s="323"/>
      <c r="J23" s="324"/>
      <c r="K23" s="325"/>
      <c r="L23" s="324"/>
      <c r="M23" s="323"/>
      <c r="N23" s="324"/>
      <c r="O23" s="325"/>
      <c r="P23" s="324"/>
      <c r="Q23" s="323"/>
      <c r="R23" s="324"/>
      <c r="S23" s="325"/>
      <c r="T23" s="324"/>
      <c r="U23" s="323"/>
      <c r="V23" s="324"/>
      <c r="W23" s="325"/>
      <c r="X23" s="324"/>
      <c r="Y23" s="323"/>
      <c r="Z23" s="324"/>
      <c r="AA23" s="325"/>
      <c r="AB23" s="324"/>
      <c r="AC23" s="323"/>
      <c r="AD23" s="324"/>
      <c r="AE23" s="325"/>
      <c r="AF23" s="324"/>
      <c r="AG23" s="323"/>
      <c r="AH23" s="324"/>
      <c r="AI23" s="325"/>
      <c r="AJ23" s="324"/>
      <c r="AK23" s="323"/>
      <c r="AL23" s="324"/>
      <c r="AM23" s="325"/>
      <c r="AN23" s="324"/>
    </row>
    <row r="24" spans="1:40">
      <c r="A24" s="135" t="s">
        <v>632</v>
      </c>
      <c r="B24" s="138" t="s">
        <v>1160</v>
      </c>
      <c r="C24" s="137">
        <v>101240</v>
      </c>
      <c r="D24" s="137">
        <v>9</v>
      </c>
      <c r="E24" s="323">
        <v>2700</v>
      </c>
      <c r="F24" s="324">
        <v>2700</v>
      </c>
      <c r="G24" s="325">
        <v>4830</v>
      </c>
      <c r="H24" s="324">
        <v>4830</v>
      </c>
      <c r="I24" s="323"/>
      <c r="J24" s="324"/>
      <c r="K24" s="325"/>
      <c r="L24" s="324"/>
      <c r="M24" s="323"/>
      <c r="N24" s="324"/>
      <c r="O24" s="325"/>
      <c r="P24" s="324"/>
      <c r="Q24" s="323"/>
      <c r="R24" s="324"/>
      <c r="S24" s="325"/>
      <c r="T24" s="324"/>
      <c r="U24" s="323"/>
      <c r="V24" s="324"/>
      <c r="W24" s="325"/>
      <c r="X24" s="324"/>
      <c r="Y24" s="323"/>
      <c r="Z24" s="324"/>
      <c r="AA24" s="325"/>
      <c r="AB24" s="324"/>
      <c r="AC24" s="323"/>
      <c r="AD24" s="324"/>
      <c r="AE24" s="325"/>
      <c r="AF24" s="324"/>
      <c r="AG24" s="323"/>
      <c r="AH24" s="324"/>
      <c r="AI24" s="325"/>
      <c r="AJ24" s="324"/>
      <c r="AK24" s="323"/>
      <c r="AL24" s="324"/>
      <c r="AM24" s="325"/>
      <c r="AN24" s="324"/>
    </row>
    <row r="25" spans="1:40">
      <c r="A25" s="135" t="s">
        <v>632</v>
      </c>
      <c r="B25" s="136" t="s">
        <v>175</v>
      </c>
      <c r="C25" s="137">
        <v>101286</v>
      </c>
      <c r="D25" s="572">
        <v>9</v>
      </c>
      <c r="E25" s="323">
        <v>2700</v>
      </c>
      <c r="F25" s="324">
        <v>2700</v>
      </c>
      <c r="G25" s="325">
        <v>4830</v>
      </c>
      <c r="H25" s="324">
        <v>4830</v>
      </c>
      <c r="I25" s="323"/>
      <c r="J25" s="324"/>
      <c r="K25" s="325"/>
      <c r="L25" s="324"/>
      <c r="M25" s="323"/>
      <c r="N25" s="324"/>
      <c r="O25" s="325"/>
      <c r="P25" s="324"/>
      <c r="Q25" s="323"/>
      <c r="R25" s="324"/>
      <c r="S25" s="325"/>
      <c r="T25" s="324"/>
      <c r="U25" s="323"/>
      <c r="V25" s="324"/>
      <c r="W25" s="325"/>
      <c r="X25" s="324"/>
      <c r="Y25" s="323"/>
      <c r="Z25" s="324"/>
      <c r="AA25" s="325"/>
      <c r="AB25" s="324"/>
      <c r="AC25" s="323"/>
      <c r="AD25" s="324"/>
      <c r="AE25" s="325"/>
      <c r="AF25" s="324"/>
      <c r="AG25" s="323"/>
      <c r="AH25" s="324"/>
      <c r="AI25" s="325"/>
      <c r="AJ25" s="324"/>
      <c r="AK25" s="323"/>
      <c r="AL25" s="324"/>
      <c r="AM25" s="325"/>
      <c r="AN25" s="324"/>
    </row>
    <row r="26" spans="1:40">
      <c r="A26" s="135" t="s">
        <v>632</v>
      </c>
      <c r="B26" s="136" t="s">
        <v>176</v>
      </c>
      <c r="C26" s="137">
        <v>101161</v>
      </c>
      <c r="D26" s="137">
        <v>9</v>
      </c>
      <c r="E26" s="323">
        <v>2790</v>
      </c>
      <c r="F26" s="324">
        <v>2790</v>
      </c>
      <c r="G26" s="325">
        <v>4920</v>
      </c>
      <c r="H26" s="324">
        <v>4920</v>
      </c>
      <c r="I26" s="323"/>
      <c r="J26" s="324"/>
      <c r="K26" s="325"/>
      <c r="L26" s="324"/>
      <c r="M26" s="323"/>
      <c r="N26" s="324"/>
      <c r="O26" s="325"/>
      <c r="P26" s="324"/>
      <c r="Q26" s="323"/>
      <c r="R26" s="324"/>
      <c r="S26" s="325"/>
      <c r="T26" s="324"/>
      <c r="U26" s="323"/>
      <c r="V26" s="324"/>
      <c r="W26" s="325"/>
      <c r="X26" s="324"/>
      <c r="Y26" s="323"/>
      <c r="Z26" s="324"/>
      <c r="AA26" s="325"/>
      <c r="AB26" s="324"/>
      <c r="AC26" s="323"/>
      <c r="AD26" s="324"/>
      <c r="AE26" s="325"/>
      <c r="AF26" s="324"/>
      <c r="AG26" s="323"/>
      <c r="AH26" s="324"/>
      <c r="AI26" s="325"/>
      <c r="AJ26" s="324"/>
      <c r="AK26" s="323"/>
      <c r="AL26" s="324"/>
      <c r="AM26" s="325"/>
      <c r="AN26" s="324"/>
    </row>
    <row r="27" spans="1:40">
      <c r="A27" s="135" t="s">
        <v>632</v>
      </c>
      <c r="B27" s="138" t="s">
        <v>177</v>
      </c>
      <c r="C27" s="137">
        <v>101569</v>
      </c>
      <c r="D27" s="137">
        <v>9</v>
      </c>
      <c r="E27" s="323">
        <v>3020</v>
      </c>
      <c r="F27" s="324">
        <v>3020</v>
      </c>
      <c r="G27" s="325">
        <v>5150</v>
      </c>
      <c r="H27" s="324">
        <v>5150</v>
      </c>
      <c r="I27" s="323"/>
      <c r="J27" s="324"/>
      <c r="K27" s="325"/>
      <c r="L27" s="324"/>
      <c r="M27" s="323"/>
      <c r="N27" s="324"/>
      <c r="O27" s="325"/>
      <c r="P27" s="324"/>
      <c r="Q27" s="323"/>
      <c r="R27" s="324"/>
      <c r="S27" s="325"/>
      <c r="T27" s="324"/>
      <c r="U27" s="323"/>
      <c r="V27" s="324"/>
      <c r="W27" s="325"/>
      <c r="X27" s="324"/>
      <c r="Y27" s="323"/>
      <c r="Z27" s="324"/>
      <c r="AA27" s="325"/>
      <c r="AB27" s="324"/>
      <c r="AC27" s="323"/>
      <c r="AD27" s="324"/>
      <c r="AE27" s="325"/>
      <c r="AF27" s="324"/>
      <c r="AG27" s="323"/>
      <c r="AH27" s="324"/>
      <c r="AI27" s="325"/>
      <c r="AJ27" s="324"/>
      <c r="AK27" s="323"/>
      <c r="AL27" s="324"/>
      <c r="AM27" s="325"/>
      <c r="AN27" s="324"/>
    </row>
    <row r="28" spans="1:40">
      <c r="A28" s="135" t="s">
        <v>632</v>
      </c>
      <c r="B28" s="136" t="s">
        <v>178</v>
      </c>
      <c r="C28" s="137">
        <v>101736</v>
      </c>
      <c r="D28" s="137">
        <v>9</v>
      </c>
      <c r="E28" s="323">
        <v>2880</v>
      </c>
      <c r="F28" s="324">
        <v>2880</v>
      </c>
      <c r="G28" s="325">
        <v>5010</v>
      </c>
      <c r="H28" s="324">
        <v>5010</v>
      </c>
      <c r="I28" s="323"/>
      <c r="J28" s="324"/>
      <c r="K28" s="325"/>
      <c r="L28" s="324"/>
      <c r="M28" s="323"/>
      <c r="N28" s="324"/>
      <c r="O28" s="325"/>
      <c r="P28" s="324"/>
      <c r="Q28" s="323"/>
      <c r="R28" s="324"/>
      <c r="S28" s="325"/>
      <c r="T28" s="324"/>
      <c r="U28" s="323"/>
      <c r="V28" s="324"/>
      <c r="W28" s="325"/>
      <c r="X28" s="324"/>
      <c r="Y28" s="323"/>
      <c r="Z28" s="324"/>
      <c r="AA28" s="325"/>
      <c r="AB28" s="324"/>
      <c r="AC28" s="323"/>
      <c r="AD28" s="324"/>
      <c r="AE28" s="325"/>
      <c r="AF28" s="324"/>
      <c r="AG28" s="323"/>
      <c r="AH28" s="324"/>
      <c r="AI28" s="325"/>
      <c r="AJ28" s="324"/>
      <c r="AK28" s="323"/>
      <c r="AL28" s="324"/>
      <c r="AM28" s="325"/>
      <c r="AN28" s="324"/>
    </row>
    <row r="29" spans="1:40">
      <c r="A29" s="135" t="s">
        <v>632</v>
      </c>
      <c r="B29" s="136" t="s">
        <v>179</v>
      </c>
      <c r="C29" s="137">
        <v>102067</v>
      </c>
      <c r="D29" s="137">
        <v>9</v>
      </c>
      <c r="E29" s="323">
        <v>2700</v>
      </c>
      <c r="F29" s="324">
        <v>2700</v>
      </c>
      <c r="G29" s="325">
        <v>4830</v>
      </c>
      <c r="H29" s="324">
        <v>4830</v>
      </c>
      <c r="I29" s="323"/>
      <c r="J29" s="324"/>
      <c r="K29" s="325"/>
      <c r="L29" s="324"/>
      <c r="M29" s="323"/>
      <c r="N29" s="324"/>
      <c r="O29" s="325"/>
      <c r="P29" s="324"/>
      <c r="Q29" s="323"/>
      <c r="R29" s="324"/>
      <c r="S29" s="325"/>
      <c r="T29" s="324"/>
      <c r="U29" s="323"/>
      <c r="V29" s="324"/>
      <c r="W29" s="325"/>
      <c r="X29" s="324"/>
      <c r="Y29" s="323"/>
      <c r="Z29" s="324"/>
      <c r="AA29" s="325"/>
      <c r="AB29" s="324"/>
      <c r="AC29" s="323"/>
      <c r="AD29" s="324"/>
      <c r="AE29" s="325"/>
      <c r="AF29" s="324"/>
      <c r="AG29" s="323"/>
      <c r="AH29" s="324"/>
      <c r="AI29" s="325"/>
      <c r="AJ29" s="324"/>
      <c r="AK29" s="323"/>
      <c r="AL29" s="324"/>
      <c r="AM29" s="325"/>
      <c r="AN29" s="324"/>
    </row>
    <row r="30" spans="1:40">
      <c r="A30" s="135" t="s">
        <v>632</v>
      </c>
      <c r="B30" s="136" t="s">
        <v>180</v>
      </c>
      <c r="C30" s="137">
        <v>251260</v>
      </c>
      <c r="D30" s="137">
        <v>9</v>
      </c>
      <c r="E30" s="323">
        <v>2700</v>
      </c>
      <c r="F30" s="324">
        <v>2700</v>
      </c>
      <c r="G30" s="325">
        <v>4830</v>
      </c>
      <c r="H30" s="324">
        <v>4830</v>
      </c>
      <c r="I30" s="323"/>
      <c r="J30" s="324"/>
      <c r="K30" s="325"/>
      <c r="L30" s="324"/>
      <c r="M30" s="323"/>
      <c r="N30" s="324"/>
      <c r="O30" s="325"/>
      <c r="P30" s="324"/>
      <c r="Q30" s="323"/>
      <c r="R30" s="324"/>
      <c r="S30" s="325"/>
      <c r="T30" s="324"/>
      <c r="U30" s="323"/>
      <c r="V30" s="324"/>
      <c r="W30" s="325"/>
      <c r="X30" s="324"/>
      <c r="Y30" s="323"/>
      <c r="Z30" s="324"/>
      <c r="AA30" s="325"/>
      <c r="AB30" s="324"/>
      <c r="AC30" s="323"/>
      <c r="AD30" s="324"/>
      <c r="AE30" s="325"/>
      <c r="AF30" s="324"/>
      <c r="AG30" s="323"/>
      <c r="AH30" s="324"/>
      <c r="AI30" s="325"/>
      <c r="AJ30" s="324"/>
      <c r="AK30" s="323"/>
      <c r="AL30" s="324"/>
      <c r="AM30" s="325"/>
      <c r="AN30" s="324"/>
    </row>
    <row r="31" spans="1:40">
      <c r="A31" s="135" t="s">
        <v>632</v>
      </c>
      <c r="B31" s="138" t="s">
        <v>181</v>
      </c>
      <c r="C31" s="137">
        <v>101295</v>
      </c>
      <c r="D31" s="137">
        <v>9</v>
      </c>
      <c r="E31" s="323">
        <v>2700</v>
      </c>
      <c r="F31" s="324">
        <v>2700</v>
      </c>
      <c r="G31" s="325">
        <v>4830</v>
      </c>
      <c r="H31" s="324">
        <v>4830</v>
      </c>
      <c r="I31" s="323"/>
      <c r="J31" s="324"/>
      <c r="K31" s="325"/>
      <c r="L31" s="324"/>
      <c r="M31" s="323"/>
      <c r="N31" s="324"/>
      <c r="O31" s="325"/>
      <c r="P31" s="324"/>
      <c r="Q31" s="323"/>
      <c r="R31" s="324"/>
      <c r="S31" s="325"/>
      <c r="T31" s="324"/>
      <c r="U31" s="323"/>
      <c r="V31" s="324"/>
      <c r="W31" s="325"/>
      <c r="X31" s="324"/>
      <c r="Y31" s="323"/>
      <c r="Z31" s="324"/>
      <c r="AA31" s="325"/>
      <c r="AB31" s="324"/>
      <c r="AC31" s="323"/>
      <c r="AD31" s="324"/>
      <c r="AE31" s="325"/>
      <c r="AF31" s="324"/>
      <c r="AG31" s="323"/>
      <c r="AH31" s="324"/>
      <c r="AI31" s="325"/>
      <c r="AJ31" s="324"/>
      <c r="AK31" s="323"/>
      <c r="AL31" s="324"/>
      <c r="AM31" s="325"/>
      <c r="AN31" s="324"/>
    </row>
    <row r="32" spans="1:40">
      <c r="A32" s="135" t="s">
        <v>632</v>
      </c>
      <c r="B32" s="136" t="s">
        <v>182</v>
      </c>
      <c r="C32" s="137">
        <v>101949</v>
      </c>
      <c r="D32" s="137">
        <v>10</v>
      </c>
      <c r="E32" s="323">
        <v>2700</v>
      </c>
      <c r="F32" s="324">
        <v>2700</v>
      </c>
      <c r="G32" s="325">
        <v>4830</v>
      </c>
      <c r="H32" s="324">
        <v>4830</v>
      </c>
      <c r="I32" s="323"/>
      <c r="J32" s="324"/>
      <c r="K32" s="325"/>
      <c r="L32" s="324"/>
      <c r="M32" s="323"/>
      <c r="N32" s="324"/>
      <c r="O32" s="325"/>
      <c r="P32" s="324"/>
      <c r="Q32" s="323"/>
      <c r="R32" s="324"/>
      <c r="S32" s="325"/>
      <c r="T32" s="324"/>
      <c r="U32" s="323"/>
      <c r="V32" s="324"/>
      <c r="W32" s="325"/>
      <c r="X32" s="324"/>
      <c r="Y32" s="323"/>
      <c r="Z32" s="324"/>
      <c r="AA32" s="325"/>
      <c r="AB32" s="324"/>
      <c r="AC32" s="323"/>
      <c r="AD32" s="324"/>
      <c r="AE32" s="325"/>
      <c r="AF32" s="324"/>
      <c r="AG32" s="323"/>
      <c r="AH32" s="324"/>
      <c r="AI32" s="325"/>
      <c r="AJ32" s="324"/>
      <c r="AK32" s="323"/>
      <c r="AL32" s="324"/>
      <c r="AM32" s="325"/>
      <c r="AN32" s="324"/>
    </row>
    <row r="33" spans="1:40">
      <c r="A33" s="135" t="s">
        <v>632</v>
      </c>
      <c r="B33" s="138" t="s">
        <v>183</v>
      </c>
      <c r="C33" s="137">
        <v>100760</v>
      </c>
      <c r="D33" s="137">
        <v>10</v>
      </c>
      <c r="E33" s="323">
        <v>2700</v>
      </c>
      <c r="F33" s="324">
        <v>2700</v>
      </c>
      <c r="G33" s="325">
        <v>4830</v>
      </c>
      <c r="H33" s="324">
        <v>4830</v>
      </c>
      <c r="I33" s="323"/>
      <c r="J33" s="324"/>
      <c r="K33" s="325"/>
      <c r="L33" s="324"/>
      <c r="M33" s="323"/>
      <c r="N33" s="324"/>
      <c r="O33" s="325"/>
      <c r="P33" s="324"/>
      <c r="Q33" s="323"/>
      <c r="R33" s="324"/>
      <c r="S33" s="325"/>
      <c r="T33" s="324"/>
      <c r="U33" s="323"/>
      <c r="V33" s="324"/>
      <c r="W33" s="325"/>
      <c r="X33" s="324"/>
      <c r="Y33" s="323"/>
      <c r="Z33" s="324"/>
      <c r="AA33" s="325"/>
      <c r="AB33" s="324"/>
      <c r="AC33" s="323"/>
      <c r="AD33" s="324"/>
      <c r="AE33" s="325"/>
      <c r="AF33" s="324"/>
      <c r="AG33" s="323"/>
      <c r="AH33" s="324"/>
      <c r="AI33" s="325"/>
      <c r="AJ33" s="324"/>
      <c r="AK33" s="323"/>
      <c r="AL33" s="324"/>
      <c r="AM33" s="325"/>
      <c r="AN33" s="324"/>
    </row>
    <row r="34" spans="1:40">
      <c r="A34" s="135" t="s">
        <v>632</v>
      </c>
      <c r="B34" s="136" t="s">
        <v>184</v>
      </c>
      <c r="C34" s="137">
        <v>101028</v>
      </c>
      <c r="D34" s="137">
        <v>10</v>
      </c>
      <c r="E34" s="323">
        <v>2700</v>
      </c>
      <c r="F34" s="324">
        <v>2940</v>
      </c>
      <c r="G34" s="325">
        <v>4830</v>
      </c>
      <c r="H34" s="324">
        <v>5070</v>
      </c>
      <c r="I34" s="323"/>
      <c r="J34" s="324"/>
      <c r="K34" s="325"/>
      <c r="L34" s="324"/>
      <c r="M34" s="323"/>
      <c r="N34" s="324"/>
      <c r="O34" s="325"/>
      <c r="P34" s="324"/>
      <c r="Q34" s="323"/>
      <c r="R34" s="324"/>
      <c r="S34" s="325"/>
      <c r="T34" s="324"/>
      <c r="U34" s="323"/>
      <c r="V34" s="324"/>
      <c r="W34" s="325"/>
      <c r="X34" s="324"/>
      <c r="Y34" s="323"/>
      <c r="Z34" s="324"/>
      <c r="AA34" s="325"/>
      <c r="AB34" s="324"/>
      <c r="AC34" s="323"/>
      <c r="AD34" s="324"/>
      <c r="AE34" s="325"/>
      <c r="AF34" s="324"/>
      <c r="AG34" s="323"/>
      <c r="AH34" s="324"/>
      <c r="AI34" s="325"/>
      <c r="AJ34" s="324"/>
      <c r="AK34" s="323"/>
      <c r="AL34" s="324"/>
      <c r="AM34" s="325"/>
      <c r="AN34" s="324"/>
    </row>
    <row r="35" spans="1:40">
      <c r="A35" s="135" t="s">
        <v>632</v>
      </c>
      <c r="B35" s="138" t="s">
        <v>1046</v>
      </c>
      <c r="C35" s="137">
        <v>101143</v>
      </c>
      <c r="D35" s="137">
        <v>10</v>
      </c>
      <c r="E35" s="323">
        <v>2700</v>
      </c>
      <c r="F35" s="324">
        <v>2700</v>
      </c>
      <c r="G35" s="325">
        <v>4830</v>
      </c>
      <c r="H35" s="324">
        <v>4830</v>
      </c>
      <c r="I35" s="323"/>
      <c r="J35" s="324"/>
      <c r="K35" s="325"/>
      <c r="L35" s="324"/>
      <c r="M35" s="323"/>
      <c r="N35" s="324"/>
      <c r="O35" s="325"/>
      <c r="P35" s="324"/>
      <c r="Q35" s="323"/>
      <c r="R35" s="324"/>
      <c r="S35" s="325"/>
      <c r="T35" s="324"/>
      <c r="U35" s="323"/>
      <c r="V35" s="324"/>
      <c r="W35" s="325"/>
      <c r="X35" s="324"/>
      <c r="Y35" s="323"/>
      <c r="Z35" s="324"/>
      <c r="AA35" s="325"/>
      <c r="AB35" s="324"/>
      <c r="AC35" s="323"/>
      <c r="AD35" s="324"/>
      <c r="AE35" s="325"/>
      <c r="AF35" s="324"/>
      <c r="AG35" s="323"/>
      <c r="AH35" s="324"/>
      <c r="AI35" s="325"/>
      <c r="AJ35" s="324"/>
      <c r="AK35" s="323"/>
      <c r="AL35" s="324"/>
      <c r="AM35" s="325"/>
      <c r="AN35" s="324"/>
    </row>
    <row r="36" spans="1:40">
      <c r="A36" s="135" t="s">
        <v>632</v>
      </c>
      <c r="B36" s="136" t="s">
        <v>185</v>
      </c>
      <c r="C36" s="137">
        <v>101301</v>
      </c>
      <c r="D36" s="137">
        <v>10</v>
      </c>
      <c r="E36" s="323">
        <v>2700</v>
      </c>
      <c r="F36" s="324">
        <v>2700</v>
      </c>
      <c r="G36" s="325">
        <v>4830</v>
      </c>
      <c r="H36" s="324">
        <v>4830</v>
      </c>
      <c r="I36" s="323"/>
      <c r="J36" s="324"/>
      <c r="K36" s="325"/>
      <c r="L36" s="324"/>
      <c r="M36" s="323"/>
      <c r="N36" s="324"/>
      <c r="O36" s="325"/>
      <c r="P36" s="324"/>
      <c r="Q36" s="323"/>
      <c r="R36" s="324"/>
      <c r="S36" s="325"/>
      <c r="T36" s="324"/>
      <c r="U36" s="323"/>
      <c r="V36" s="324"/>
      <c r="W36" s="325"/>
      <c r="X36" s="324"/>
      <c r="Y36" s="323"/>
      <c r="Z36" s="324"/>
      <c r="AA36" s="325"/>
      <c r="AB36" s="324"/>
      <c r="AC36" s="323"/>
      <c r="AD36" s="324"/>
      <c r="AE36" s="325"/>
      <c r="AF36" s="324"/>
      <c r="AG36" s="323"/>
      <c r="AH36" s="324"/>
      <c r="AI36" s="325"/>
      <c r="AJ36" s="324"/>
      <c r="AK36" s="323"/>
      <c r="AL36" s="324"/>
      <c r="AM36" s="325"/>
      <c r="AN36" s="324"/>
    </row>
    <row r="37" spans="1:40">
      <c r="A37" s="135" t="s">
        <v>632</v>
      </c>
      <c r="B37" s="136" t="s">
        <v>186</v>
      </c>
      <c r="C37" s="137">
        <v>101499</v>
      </c>
      <c r="D37" s="137">
        <v>10</v>
      </c>
      <c r="E37" s="323">
        <v>2700</v>
      </c>
      <c r="F37" s="324">
        <v>2700</v>
      </c>
      <c r="G37" s="325">
        <v>4830</v>
      </c>
      <c r="H37" s="324">
        <v>4830</v>
      </c>
      <c r="I37" s="323"/>
      <c r="J37" s="324"/>
      <c r="K37" s="325"/>
      <c r="L37" s="324"/>
      <c r="M37" s="323"/>
      <c r="N37" s="324"/>
      <c r="O37" s="325"/>
      <c r="P37" s="324"/>
      <c r="Q37" s="323"/>
      <c r="R37" s="324"/>
      <c r="S37" s="325"/>
      <c r="T37" s="324"/>
      <c r="U37" s="323"/>
      <c r="V37" s="324"/>
      <c r="W37" s="325"/>
      <c r="X37" s="324"/>
      <c r="Y37" s="323"/>
      <c r="Z37" s="324"/>
      <c r="AA37" s="325"/>
      <c r="AB37" s="324"/>
      <c r="AC37" s="323"/>
      <c r="AD37" s="324"/>
      <c r="AE37" s="325"/>
      <c r="AF37" s="324"/>
      <c r="AG37" s="323"/>
      <c r="AH37" s="324"/>
      <c r="AI37" s="325"/>
      <c r="AJ37" s="324"/>
      <c r="AK37" s="323"/>
      <c r="AL37" s="324"/>
      <c r="AM37" s="325"/>
      <c r="AN37" s="324"/>
    </row>
    <row r="38" spans="1:40">
      <c r="A38" s="135" t="s">
        <v>632</v>
      </c>
      <c r="B38" s="136" t="s">
        <v>187</v>
      </c>
      <c r="C38" s="137">
        <v>101602</v>
      </c>
      <c r="D38" s="137">
        <v>10</v>
      </c>
      <c r="E38" s="323">
        <v>2700</v>
      </c>
      <c r="F38" s="324">
        <v>2700</v>
      </c>
      <c r="G38" s="325">
        <v>4830</v>
      </c>
      <c r="H38" s="324">
        <v>4830</v>
      </c>
      <c r="I38" s="323"/>
      <c r="J38" s="324"/>
      <c r="K38" s="325"/>
      <c r="L38" s="324"/>
      <c r="M38" s="323"/>
      <c r="N38" s="324"/>
      <c r="O38" s="325"/>
      <c r="P38" s="324"/>
      <c r="Q38" s="323"/>
      <c r="R38" s="324"/>
      <c r="S38" s="325"/>
      <c r="T38" s="324"/>
      <c r="U38" s="323"/>
      <c r="V38" s="324"/>
      <c r="W38" s="325"/>
      <c r="X38" s="324"/>
      <c r="Y38" s="323"/>
      <c r="Z38" s="324"/>
      <c r="AA38" s="325"/>
      <c r="AB38" s="324"/>
      <c r="AC38" s="323"/>
      <c r="AD38" s="324"/>
      <c r="AE38" s="325"/>
      <c r="AF38" s="324"/>
      <c r="AG38" s="323"/>
      <c r="AH38" s="324"/>
      <c r="AI38" s="325"/>
      <c r="AJ38" s="324"/>
      <c r="AK38" s="323"/>
      <c r="AL38" s="324"/>
      <c r="AM38" s="325"/>
      <c r="AN38" s="324"/>
    </row>
    <row r="39" spans="1:40">
      <c r="A39" s="135" t="s">
        <v>632</v>
      </c>
      <c r="B39" s="227" t="s">
        <v>188</v>
      </c>
      <c r="C39" s="137">
        <v>101897</v>
      </c>
      <c r="D39" s="137">
        <v>10</v>
      </c>
      <c r="E39" s="323">
        <v>2850</v>
      </c>
      <c r="F39" s="324">
        <v>2850</v>
      </c>
      <c r="G39" s="325">
        <v>4980</v>
      </c>
      <c r="H39" s="324">
        <v>4980</v>
      </c>
      <c r="I39" s="323"/>
      <c r="J39" s="324"/>
      <c r="K39" s="325"/>
      <c r="L39" s="324"/>
      <c r="M39" s="323"/>
      <c r="N39" s="324"/>
      <c r="O39" s="325"/>
      <c r="P39" s="324"/>
      <c r="Q39" s="323"/>
      <c r="R39" s="324"/>
      <c r="S39" s="325"/>
      <c r="T39" s="324"/>
      <c r="U39" s="323"/>
      <c r="V39" s="324"/>
      <c r="W39" s="325"/>
      <c r="X39" s="324"/>
      <c r="Y39" s="323"/>
      <c r="Z39" s="324"/>
      <c r="AA39" s="325"/>
      <c r="AB39" s="324"/>
      <c r="AC39" s="323"/>
      <c r="AD39" s="324"/>
      <c r="AE39" s="325"/>
      <c r="AF39" s="324"/>
      <c r="AG39" s="323"/>
      <c r="AH39" s="324"/>
      <c r="AI39" s="325"/>
      <c r="AJ39" s="324"/>
      <c r="AK39" s="323"/>
      <c r="AL39" s="324"/>
      <c r="AM39" s="325"/>
      <c r="AN39" s="324"/>
    </row>
    <row r="40" spans="1:40">
      <c r="A40" s="135" t="s">
        <v>632</v>
      </c>
      <c r="B40" s="136" t="s">
        <v>189</v>
      </c>
      <c r="C40" s="137">
        <v>102076</v>
      </c>
      <c r="D40" s="137">
        <v>10</v>
      </c>
      <c r="E40" s="323">
        <v>2820</v>
      </c>
      <c r="F40" s="324">
        <v>2820</v>
      </c>
      <c r="G40" s="325">
        <v>4950</v>
      </c>
      <c r="H40" s="324">
        <v>4950</v>
      </c>
      <c r="I40" s="323"/>
      <c r="J40" s="324"/>
      <c r="K40" s="325"/>
      <c r="L40" s="324"/>
      <c r="M40" s="323"/>
      <c r="N40" s="324"/>
      <c r="O40" s="325"/>
      <c r="P40" s="324"/>
      <c r="Q40" s="323"/>
      <c r="R40" s="324"/>
      <c r="S40" s="325"/>
      <c r="T40" s="324"/>
      <c r="U40" s="323"/>
      <c r="V40" s="324"/>
      <c r="W40" s="325"/>
      <c r="X40" s="324"/>
      <c r="Y40" s="323"/>
      <c r="Z40" s="324"/>
      <c r="AA40" s="325"/>
      <c r="AB40" s="324"/>
      <c r="AC40" s="323"/>
      <c r="AD40" s="324"/>
      <c r="AE40" s="325"/>
      <c r="AF40" s="324"/>
      <c r="AG40" s="323"/>
      <c r="AH40" s="324"/>
      <c r="AI40" s="325"/>
      <c r="AJ40" s="324"/>
      <c r="AK40" s="323"/>
      <c r="AL40" s="324"/>
      <c r="AM40" s="325"/>
      <c r="AN40" s="324"/>
    </row>
    <row r="41" spans="1:40">
      <c r="A41" s="135" t="s">
        <v>632</v>
      </c>
      <c r="B41" s="136" t="s">
        <v>190</v>
      </c>
      <c r="C41" s="137">
        <v>102313</v>
      </c>
      <c r="D41" s="327">
        <v>12</v>
      </c>
      <c r="E41" s="323">
        <v>2700</v>
      </c>
      <c r="F41" s="324">
        <v>2700</v>
      </c>
      <c r="G41" s="325">
        <v>4830</v>
      </c>
      <c r="H41" s="324">
        <v>4830</v>
      </c>
      <c r="I41" s="323"/>
      <c r="J41" s="324"/>
      <c r="K41" s="325"/>
      <c r="L41" s="324"/>
      <c r="M41" s="323"/>
      <c r="N41" s="324"/>
      <c r="O41" s="325"/>
      <c r="P41" s="324"/>
      <c r="Q41" s="323"/>
      <c r="R41" s="324"/>
      <c r="S41" s="325"/>
      <c r="T41" s="324"/>
      <c r="U41" s="323"/>
      <c r="V41" s="324"/>
      <c r="W41" s="325"/>
      <c r="X41" s="324"/>
      <c r="Y41" s="323"/>
      <c r="Z41" s="324"/>
      <c r="AA41" s="325"/>
      <c r="AB41" s="324"/>
      <c r="AC41" s="323"/>
      <c r="AD41" s="324"/>
      <c r="AE41" s="325"/>
      <c r="AF41" s="324"/>
      <c r="AG41" s="323"/>
      <c r="AH41" s="324"/>
      <c r="AI41" s="325"/>
      <c r="AJ41" s="324"/>
      <c r="AK41" s="323"/>
      <c r="AL41" s="324"/>
      <c r="AM41" s="325"/>
      <c r="AN41" s="324"/>
    </row>
    <row r="42" spans="1:40">
      <c r="A42" s="135" t="s">
        <v>632</v>
      </c>
      <c r="B42" s="136" t="s">
        <v>191</v>
      </c>
      <c r="C42" s="137">
        <v>101462</v>
      </c>
      <c r="D42" s="327">
        <v>13</v>
      </c>
      <c r="E42" s="323">
        <v>2700</v>
      </c>
      <c r="F42" s="324">
        <v>2700</v>
      </c>
      <c r="G42" s="325">
        <v>4830</v>
      </c>
      <c r="H42" s="324">
        <v>4830</v>
      </c>
      <c r="I42" s="323"/>
      <c r="J42" s="324"/>
      <c r="K42" s="325"/>
      <c r="L42" s="324"/>
      <c r="M42" s="323"/>
      <c r="N42" s="324"/>
      <c r="O42" s="325"/>
      <c r="P42" s="324"/>
      <c r="Q42" s="323"/>
      <c r="R42" s="324"/>
      <c r="S42" s="325"/>
      <c r="T42" s="324"/>
      <c r="U42" s="323"/>
      <c r="V42" s="324"/>
      <c r="W42" s="325"/>
      <c r="X42" s="324"/>
      <c r="Y42" s="323"/>
      <c r="Z42" s="324"/>
      <c r="AA42" s="325"/>
      <c r="AB42" s="324"/>
      <c r="AC42" s="323"/>
      <c r="AD42" s="324"/>
      <c r="AE42" s="325"/>
      <c r="AF42" s="324"/>
      <c r="AG42" s="323"/>
      <c r="AH42" s="324"/>
      <c r="AI42" s="325"/>
      <c r="AJ42" s="324"/>
      <c r="AK42" s="323"/>
      <c r="AL42" s="324"/>
      <c r="AM42" s="325"/>
      <c r="AN42" s="324"/>
    </row>
    <row r="43" spans="1:40">
      <c r="A43" s="135" t="s">
        <v>632</v>
      </c>
      <c r="B43" s="136" t="s">
        <v>192</v>
      </c>
      <c r="C43" s="137">
        <v>101471</v>
      </c>
      <c r="D43" s="327">
        <v>13</v>
      </c>
      <c r="E43" s="323">
        <v>2700</v>
      </c>
      <c r="F43" s="324">
        <v>2700</v>
      </c>
      <c r="G43" s="325"/>
      <c r="H43" s="324"/>
      <c r="I43" s="323"/>
      <c r="J43" s="324"/>
      <c r="K43" s="325"/>
      <c r="L43" s="324"/>
      <c r="M43" s="323"/>
      <c r="N43" s="324"/>
      <c r="O43" s="325"/>
      <c r="P43" s="324"/>
      <c r="Q43" s="323"/>
      <c r="R43" s="324"/>
      <c r="S43" s="325"/>
      <c r="T43" s="324"/>
      <c r="U43" s="323"/>
      <c r="V43" s="324"/>
      <c r="W43" s="325"/>
      <c r="X43" s="324"/>
      <c r="Y43" s="323"/>
      <c r="Z43" s="324"/>
      <c r="AA43" s="325"/>
      <c r="AB43" s="324"/>
      <c r="AC43" s="323"/>
      <c r="AD43" s="324"/>
      <c r="AE43" s="325"/>
      <c r="AF43" s="324"/>
      <c r="AG43" s="323"/>
      <c r="AH43" s="324"/>
      <c r="AI43" s="325"/>
      <c r="AJ43" s="324"/>
      <c r="AK43" s="323"/>
      <c r="AL43" s="324"/>
      <c r="AM43" s="325"/>
      <c r="AN43" s="324"/>
    </row>
    <row r="44" spans="1:40">
      <c r="A44" s="135" t="s">
        <v>632</v>
      </c>
      <c r="B44" s="136" t="s">
        <v>193</v>
      </c>
      <c r="C44" s="137">
        <v>101994</v>
      </c>
      <c r="D44" s="327">
        <v>13</v>
      </c>
      <c r="E44" s="323">
        <v>2790</v>
      </c>
      <c r="F44" s="324">
        <v>2790</v>
      </c>
      <c r="G44" s="325">
        <v>4920</v>
      </c>
      <c r="H44" s="324">
        <v>4920</v>
      </c>
      <c r="I44" s="323"/>
      <c r="J44" s="324"/>
      <c r="K44" s="325"/>
      <c r="L44" s="324"/>
      <c r="M44" s="323"/>
      <c r="N44" s="324"/>
      <c r="O44" s="325"/>
      <c r="P44" s="324"/>
      <c r="Q44" s="323"/>
      <c r="R44" s="324"/>
      <c r="S44" s="325"/>
      <c r="T44" s="324"/>
      <c r="U44" s="323"/>
      <c r="V44" s="324"/>
      <c r="W44" s="325"/>
      <c r="X44" s="324"/>
      <c r="Y44" s="323"/>
      <c r="Z44" s="324"/>
      <c r="AA44" s="325"/>
      <c r="AB44" s="324"/>
      <c r="AC44" s="323"/>
      <c r="AD44" s="324"/>
      <c r="AE44" s="325"/>
      <c r="AF44" s="324"/>
      <c r="AG44" s="323"/>
      <c r="AH44" s="324"/>
      <c r="AI44" s="325"/>
      <c r="AJ44" s="324"/>
      <c r="AK44" s="323"/>
      <c r="AL44" s="324"/>
      <c r="AM44" s="325"/>
      <c r="AN44" s="324"/>
    </row>
    <row r="45" spans="1:40">
      <c r="A45" s="135" t="s">
        <v>632</v>
      </c>
      <c r="B45" s="136" t="s">
        <v>194</v>
      </c>
      <c r="C45" s="139">
        <v>101648</v>
      </c>
      <c r="D45" s="139">
        <v>15</v>
      </c>
      <c r="E45" s="323">
        <v>6720</v>
      </c>
      <c r="F45" s="324">
        <v>6720</v>
      </c>
      <c r="G45" s="325">
        <v>12720</v>
      </c>
      <c r="H45" s="324">
        <v>12720</v>
      </c>
      <c r="I45" s="323"/>
      <c r="J45" s="324"/>
      <c r="K45" s="325"/>
      <c r="L45" s="324"/>
      <c r="M45" s="323"/>
      <c r="N45" s="324"/>
      <c r="O45" s="325"/>
      <c r="P45" s="324"/>
      <c r="Q45" s="323"/>
      <c r="R45" s="324"/>
      <c r="S45" s="325"/>
      <c r="T45" s="324"/>
      <c r="U45" s="323"/>
      <c r="V45" s="324"/>
      <c r="W45" s="325"/>
      <c r="X45" s="324"/>
      <c r="Y45" s="323"/>
      <c r="Z45" s="324"/>
      <c r="AA45" s="325"/>
      <c r="AB45" s="324"/>
      <c r="AC45" s="323"/>
      <c r="AD45" s="324"/>
      <c r="AE45" s="325"/>
      <c r="AF45" s="324"/>
      <c r="AG45" s="323"/>
      <c r="AH45" s="324"/>
      <c r="AI45" s="325"/>
      <c r="AJ45" s="324"/>
      <c r="AK45" s="323"/>
      <c r="AL45" s="324"/>
      <c r="AM45" s="325"/>
      <c r="AN45" s="324"/>
    </row>
    <row r="46" spans="1:40">
      <c r="A46" s="141" t="s">
        <v>637</v>
      </c>
      <c r="B46" s="142" t="s">
        <v>557</v>
      </c>
      <c r="C46" s="143">
        <v>106397</v>
      </c>
      <c r="D46" s="144">
        <v>1</v>
      </c>
      <c r="E46" s="323">
        <v>6399</v>
      </c>
      <c r="F46" s="324">
        <v>6459</v>
      </c>
      <c r="G46" s="325">
        <v>15276</v>
      </c>
      <c r="H46" s="324">
        <v>15336</v>
      </c>
      <c r="I46" s="323">
        <v>8141</v>
      </c>
      <c r="J46" s="324">
        <v>8189</v>
      </c>
      <c r="K46" s="325">
        <v>17800</v>
      </c>
      <c r="L46" s="324">
        <v>17848</v>
      </c>
      <c r="M46" s="323">
        <v>8569</v>
      </c>
      <c r="N46" s="324">
        <v>8617</v>
      </c>
      <c r="O46" s="325">
        <v>17103</v>
      </c>
      <c r="P46" s="324">
        <v>17151</v>
      </c>
      <c r="Q46" s="323"/>
      <c r="R46" s="324"/>
      <c r="S46" s="325"/>
      <c r="T46" s="324"/>
      <c r="U46" s="323"/>
      <c r="V46" s="324"/>
      <c r="W46" s="325"/>
      <c r="X46" s="324"/>
      <c r="Y46" s="323"/>
      <c r="Z46" s="324"/>
      <c r="AA46" s="325"/>
      <c r="AB46" s="324"/>
      <c r="AC46" s="323"/>
      <c r="AD46" s="324"/>
      <c r="AE46" s="325"/>
      <c r="AF46" s="324"/>
      <c r="AG46" s="323"/>
      <c r="AH46" s="324"/>
      <c r="AI46" s="325"/>
      <c r="AJ46" s="324"/>
      <c r="AK46" s="323"/>
      <c r="AL46" s="324"/>
      <c r="AM46" s="325"/>
      <c r="AN46" s="324"/>
    </row>
    <row r="47" spans="1:40">
      <c r="A47" s="141" t="s">
        <v>637</v>
      </c>
      <c r="B47" s="142" t="s">
        <v>558</v>
      </c>
      <c r="C47" s="143">
        <v>106458</v>
      </c>
      <c r="D47" s="144">
        <v>3</v>
      </c>
      <c r="E47" s="323">
        <v>6370</v>
      </c>
      <c r="F47" s="324">
        <v>6370</v>
      </c>
      <c r="G47" s="325">
        <v>14290</v>
      </c>
      <c r="H47" s="324">
        <v>14290</v>
      </c>
      <c r="I47" s="323">
        <v>6190</v>
      </c>
      <c r="J47" s="324">
        <v>6190</v>
      </c>
      <c r="K47" s="325">
        <v>13918</v>
      </c>
      <c r="L47" s="324">
        <v>13918</v>
      </c>
      <c r="M47" s="323"/>
      <c r="N47" s="324"/>
      <c r="O47" s="325"/>
      <c r="P47" s="324"/>
      <c r="Q47" s="323"/>
      <c r="R47" s="324"/>
      <c r="S47" s="325"/>
      <c r="T47" s="324"/>
      <c r="U47" s="323"/>
      <c r="V47" s="324"/>
      <c r="W47" s="325"/>
      <c r="X47" s="324"/>
      <c r="Y47" s="323"/>
      <c r="Z47" s="324"/>
      <c r="AA47" s="325"/>
      <c r="AB47" s="324"/>
      <c r="AC47" s="323"/>
      <c r="AD47" s="324"/>
      <c r="AE47" s="325"/>
      <c r="AF47" s="324"/>
      <c r="AG47" s="323"/>
      <c r="AH47" s="324"/>
      <c r="AI47" s="325"/>
      <c r="AJ47" s="324"/>
      <c r="AK47" s="323"/>
      <c r="AL47" s="324"/>
      <c r="AM47" s="325"/>
      <c r="AN47" s="324"/>
    </row>
    <row r="48" spans="1:40">
      <c r="A48" s="141" t="s">
        <v>637</v>
      </c>
      <c r="B48" s="142" t="s">
        <v>559</v>
      </c>
      <c r="C48" s="143">
        <v>106245</v>
      </c>
      <c r="D48" s="144">
        <v>3</v>
      </c>
      <c r="E48" s="323">
        <v>6121</v>
      </c>
      <c r="F48" s="324">
        <v>6331</v>
      </c>
      <c r="G48" s="325">
        <v>14303</v>
      </c>
      <c r="H48" s="324">
        <v>14798</v>
      </c>
      <c r="I48" s="323">
        <v>6480</v>
      </c>
      <c r="J48" s="324">
        <v>6691</v>
      </c>
      <c r="K48" s="325">
        <v>13296</v>
      </c>
      <c r="L48" s="324">
        <v>13759</v>
      </c>
      <c r="M48" s="323">
        <v>8835</v>
      </c>
      <c r="N48" s="324">
        <v>9119</v>
      </c>
      <c r="O48" s="325">
        <v>17897</v>
      </c>
      <c r="P48" s="324">
        <v>18435</v>
      </c>
      <c r="Q48" s="323"/>
      <c r="R48" s="324"/>
      <c r="S48" s="325"/>
      <c r="T48" s="324"/>
      <c r="U48" s="323"/>
      <c r="V48" s="324"/>
      <c r="W48" s="325"/>
      <c r="X48" s="324"/>
      <c r="Y48" s="323"/>
      <c r="Z48" s="324"/>
      <c r="AA48" s="325"/>
      <c r="AB48" s="324"/>
      <c r="AC48" s="323"/>
      <c r="AD48" s="324"/>
      <c r="AE48" s="325"/>
      <c r="AF48" s="324"/>
      <c r="AG48" s="323"/>
      <c r="AH48" s="324"/>
      <c r="AI48" s="325"/>
      <c r="AJ48" s="324"/>
      <c r="AK48" s="323"/>
      <c r="AL48" s="324"/>
      <c r="AM48" s="325"/>
      <c r="AN48" s="324"/>
    </row>
    <row r="49" spans="1:40">
      <c r="A49" s="141" t="s">
        <v>637</v>
      </c>
      <c r="B49" s="142" t="s">
        <v>560</v>
      </c>
      <c r="C49" s="143">
        <v>106704</v>
      </c>
      <c r="D49" s="144">
        <v>3</v>
      </c>
      <c r="E49" s="323">
        <v>6505</v>
      </c>
      <c r="F49" s="324">
        <v>6698</v>
      </c>
      <c r="G49" s="325">
        <v>11605</v>
      </c>
      <c r="H49" s="324">
        <v>11903</v>
      </c>
      <c r="I49" s="323">
        <v>6183</v>
      </c>
      <c r="J49" s="324">
        <v>6361</v>
      </c>
      <c r="K49" s="325">
        <v>11223</v>
      </c>
      <c r="L49" s="324">
        <v>11497</v>
      </c>
      <c r="M49" s="323"/>
      <c r="N49" s="324"/>
      <c r="O49" s="325"/>
      <c r="P49" s="324"/>
      <c r="Q49" s="323"/>
      <c r="R49" s="324"/>
      <c r="S49" s="325"/>
      <c r="T49" s="324"/>
      <c r="U49" s="323"/>
      <c r="V49" s="324"/>
      <c r="W49" s="325"/>
      <c r="X49" s="324"/>
      <c r="Y49" s="323"/>
      <c r="Z49" s="324"/>
      <c r="AA49" s="325"/>
      <c r="AB49" s="324"/>
      <c r="AC49" s="323"/>
      <c r="AD49" s="324"/>
      <c r="AE49" s="325"/>
      <c r="AF49" s="324"/>
      <c r="AG49" s="323"/>
      <c r="AH49" s="324"/>
      <c r="AI49" s="325"/>
      <c r="AJ49" s="324"/>
      <c r="AK49" s="323"/>
      <c r="AL49" s="324"/>
      <c r="AM49" s="325"/>
      <c r="AN49" s="324"/>
    </row>
    <row r="50" spans="1:40">
      <c r="A50" s="141" t="s">
        <v>637</v>
      </c>
      <c r="B50" s="145" t="s">
        <v>561</v>
      </c>
      <c r="C50" s="143">
        <v>106467</v>
      </c>
      <c r="D50" s="144">
        <v>4</v>
      </c>
      <c r="E50" s="323">
        <v>5430</v>
      </c>
      <c r="F50" s="324">
        <v>5610</v>
      </c>
      <c r="G50" s="325">
        <v>10260</v>
      </c>
      <c r="H50" s="324">
        <v>10620</v>
      </c>
      <c r="I50" s="323">
        <v>4952</v>
      </c>
      <c r="J50" s="324">
        <v>5120</v>
      </c>
      <c r="K50" s="325">
        <v>9368</v>
      </c>
      <c r="L50" s="324">
        <v>9704</v>
      </c>
      <c r="M50" s="323"/>
      <c r="N50" s="324"/>
      <c r="O50" s="325"/>
      <c r="P50" s="324"/>
      <c r="Q50" s="323"/>
      <c r="R50" s="324"/>
      <c r="S50" s="325"/>
      <c r="T50" s="324"/>
      <c r="U50" s="323"/>
      <c r="V50" s="324"/>
      <c r="W50" s="325"/>
      <c r="X50" s="324"/>
      <c r="Y50" s="323"/>
      <c r="Z50" s="324"/>
      <c r="AA50" s="325"/>
      <c r="AB50" s="324"/>
      <c r="AC50" s="323"/>
      <c r="AD50" s="324"/>
      <c r="AE50" s="325"/>
      <c r="AF50" s="324"/>
      <c r="AG50" s="323"/>
      <c r="AH50" s="324"/>
      <c r="AI50" s="325"/>
      <c r="AJ50" s="324"/>
      <c r="AK50" s="323"/>
      <c r="AL50" s="324"/>
      <c r="AM50" s="325"/>
      <c r="AN50" s="324"/>
    </row>
    <row r="51" spans="1:40">
      <c r="A51" s="141" t="s">
        <v>637</v>
      </c>
      <c r="B51" s="145" t="s">
        <v>562</v>
      </c>
      <c r="C51" s="143">
        <v>107071</v>
      </c>
      <c r="D51" s="144">
        <v>4</v>
      </c>
      <c r="E51" s="323">
        <v>6024</v>
      </c>
      <c r="F51" s="324">
        <v>6204</v>
      </c>
      <c r="G51" s="325">
        <v>10944</v>
      </c>
      <c r="H51" s="324">
        <v>11304</v>
      </c>
      <c r="I51" s="323">
        <v>5899</v>
      </c>
      <c r="J51" s="324">
        <v>6067</v>
      </c>
      <c r="K51" s="325">
        <v>10795</v>
      </c>
      <c r="L51" s="324">
        <v>11131</v>
      </c>
      <c r="M51" s="323"/>
      <c r="N51" s="324"/>
      <c r="O51" s="325"/>
      <c r="P51" s="324"/>
      <c r="Q51" s="323"/>
      <c r="R51" s="324"/>
      <c r="S51" s="325"/>
      <c r="T51" s="324"/>
      <c r="U51" s="323"/>
      <c r="V51" s="324"/>
      <c r="W51" s="325"/>
      <c r="X51" s="324"/>
      <c r="Y51" s="323"/>
      <c r="Z51" s="324"/>
      <c r="AA51" s="325"/>
      <c r="AB51" s="324"/>
      <c r="AC51" s="323"/>
      <c r="AD51" s="324"/>
      <c r="AE51" s="325"/>
      <c r="AF51" s="324"/>
      <c r="AG51" s="323"/>
      <c r="AH51" s="324"/>
      <c r="AI51" s="325"/>
      <c r="AJ51" s="324"/>
      <c r="AK51" s="323"/>
      <c r="AL51" s="324"/>
      <c r="AM51" s="325"/>
      <c r="AN51" s="324"/>
    </row>
    <row r="52" spans="1:40">
      <c r="A52" s="141" t="s">
        <v>637</v>
      </c>
      <c r="B52" s="145" t="s">
        <v>563</v>
      </c>
      <c r="C52" s="143">
        <v>107983</v>
      </c>
      <c r="D52" s="144">
        <v>5</v>
      </c>
      <c r="E52" s="323">
        <v>5646</v>
      </c>
      <c r="F52" s="324">
        <v>6066</v>
      </c>
      <c r="G52" s="325">
        <v>8106</v>
      </c>
      <c r="H52" s="324">
        <v>8706</v>
      </c>
      <c r="I52" s="323">
        <v>5426</v>
      </c>
      <c r="J52" s="324">
        <v>5834</v>
      </c>
      <c r="K52" s="325">
        <v>7658</v>
      </c>
      <c r="L52" s="324">
        <v>8210</v>
      </c>
      <c r="M52" s="323"/>
      <c r="N52" s="324"/>
      <c r="O52" s="325"/>
      <c r="P52" s="324"/>
      <c r="Q52" s="323"/>
      <c r="R52" s="324"/>
      <c r="S52" s="325"/>
      <c r="T52" s="324"/>
      <c r="U52" s="323"/>
      <c r="V52" s="324"/>
      <c r="W52" s="325"/>
      <c r="X52" s="324"/>
      <c r="Y52" s="323"/>
      <c r="Z52" s="324"/>
      <c r="AA52" s="325"/>
      <c r="AB52" s="324"/>
      <c r="AC52" s="323"/>
      <c r="AD52" s="324"/>
      <c r="AE52" s="325"/>
      <c r="AF52" s="324"/>
      <c r="AG52" s="323"/>
      <c r="AH52" s="324"/>
      <c r="AI52" s="325"/>
      <c r="AJ52" s="324"/>
      <c r="AK52" s="323"/>
      <c r="AL52" s="324"/>
      <c r="AM52" s="325"/>
      <c r="AN52" s="324"/>
    </row>
    <row r="53" spans="1:40">
      <c r="A53" s="141" t="s">
        <v>637</v>
      </c>
      <c r="B53" s="145" t="s">
        <v>564</v>
      </c>
      <c r="C53" s="143">
        <v>106485</v>
      </c>
      <c r="D53" s="144">
        <v>5</v>
      </c>
      <c r="E53" s="323">
        <v>4600</v>
      </c>
      <c r="F53" s="324">
        <v>4750</v>
      </c>
      <c r="G53" s="325">
        <v>8770</v>
      </c>
      <c r="H53" s="324">
        <v>9010</v>
      </c>
      <c r="I53" s="323">
        <v>4896</v>
      </c>
      <c r="J53" s="324">
        <v>5136</v>
      </c>
      <c r="K53" s="325">
        <v>9672</v>
      </c>
      <c r="L53" s="324">
        <v>10128</v>
      </c>
      <c r="M53" s="323"/>
      <c r="N53" s="324"/>
      <c r="O53" s="325"/>
      <c r="P53" s="324"/>
      <c r="Q53" s="323"/>
      <c r="R53" s="324"/>
      <c r="S53" s="325"/>
      <c r="T53" s="324"/>
      <c r="U53" s="323"/>
      <c r="V53" s="324"/>
      <c r="W53" s="325"/>
      <c r="X53" s="324"/>
      <c r="Y53" s="323"/>
      <c r="Z53" s="324"/>
      <c r="AA53" s="325"/>
      <c r="AB53" s="324"/>
      <c r="AC53" s="323"/>
      <c r="AD53" s="324"/>
      <c r="AE53" s="325"/>
      <c r="AF53" s="324"/>
      <c r="AG53" s="323"/>
      <c r="AH53" s="324"/>
      <c r="AI53" s="325"/>
      <c r="AJ53" s="324"/>
      <c r="AK53" s="323"/>
      <c r="AL53" s="324"/>
      <c r="AM53" s="325"/>
      <c r="AN53" s="324"/>
    </row>
    <row r="54" spans="1:40">
      <c r="A54" s="141" t="s">
        <v>637</v>
      </c>
      <c r="B54" s="328" t="s">
        <v>546</v>
      </c>
      <c r="C54" s="144">
        <v>108092</v>
      </c>
      <c r="D54" s="329">
        <v>6</v>
      </c>
      <c r="E54" s="323">
        <v>4410</v>
      </c>
      <c r="F54" s="324">
        <v>4600</v>
      </c>
      <c r="G54" s="325">
        <v>9600</v>
      </c>
      <c r="H54" s="324">
        <v>10000</v>
      </c>
      <c r="I54" s="323"/>
      <c r="J54" s="324"/>
      <c r="K54" s="325"/>
      <c r="L54" s="324"/>
      <c r="M54" s="323"/>
      <c r="N54" s="324"/>
      <c r="O54" s="325"/>
      <c r="P54" s="324"/>
      <c r="Q54" s="323"/>
      <c r="R54" s="324"/>
      <c r="S54" s="325"/>
      <c r="T54" s="324"/>
      <c r="U54" s="323"/>
      <c r="V54" s="324"/>
      <c r="W54" s="325"/>
      <c r="X54" s="324"/>
      <c r="Y54" s="323"/>
      <c r="Z54" s="324"/>
      <c r="AA54" s="325"/>
      <c r="AB54" s="324"/>
      <c r="AC54" s="323"/>
      <c r="AD54" s="324"/>
      <c r="AE54" s="325"/>
      <c r="AF54" s="324"/>
      <c r="AG54" s="323"/>
      <c r="AH54" s="324"/>
      <c r="AI54" s="325"/>
      <c r="AJ54" s="324"/>
      <c r="AK54" s="323"/>
      <c r="AL54" s="324"/>
      <c r="AM54" s="325"/>
      <c r="AN54" s="324"/>
    </row>
    <row r="55" spans="1:40">
      <c r="A55" s="141" t="s">
        <v>637</v>
      </c>
      <c r="B55" s="145" t="s">
        <v>565</v>
      </c>
      <c r="C55" s="143">
        <v>106412</v>
      </c>
      <c r="D55" s="144">
        <v>6</v>
      </c>
      <c r="E55" s="323">
        <v>4676</v>
      </c>
      <c r="F55" s="324">
        <v>4796</v>
      </c>
      <c r="G55" s="325">
        <v>9236</v>
      </c>
      <c r="H55" s="324">
        <v>9476</v>
      </c>
      <c r="I55" s="323">
        <v>4544</v>
      </c>
      <c r="J55" s="324">
        <v>4664</v>
      </c>
      <c r="K55" s="325">
        <v>9176</v>
      </c>
      <c r="L55" s="324">
        <v>9416</v>
      </c>
      <c r="M55" s="323"/>
      <c r="N55" s="324"/>
      <c r="O55" s="325"/>
      <c r="P55" s="324"/>
      <c r="Q55" s="323"/>
      <c r="R55" s="324"/>
      <c r="S55" s="325"/>
      <c r="T55" s="324"/>
      <c r="U55" s="323"/>
      <c r="V55" s="324"/>
      <c r="W55" s="325"/>
      <c r="X55" s="324"/>
      <c r="Y55" s="323"/>
      <c r="Z55" s="324"/>
      <c r="AA55" s="325"/>
      <c r="AB55" s="324"/>
      <c r="AC55" s="323"/>
      <c r="AD55" s="324"/>
      <c r="AE55" s="325"/>
      <c r="AF55" s="324"/>
      <c r="AG55" s="323"/>
      <c r="AH55" s="324"/>
      <c r="AI55" s="325"/>
      <c r="AJ55" s="324"/>
      <c r="AK55" s="323"/>
      <c r="AL55" s="324"/>
      <c r="AM55" s="325"/>
      <c r="AN55" s="324"/>
    </row>
    <row r="56" spans="1:40">
      <c r="A56" s="141" t="s">
        <v>637</v>
      </c>
      <c r="B56" s="146" t="s">
        <v>566</v>
      </c>
      <c r="C56" s="147">
        <v>107664</v>
      </c>
      <c r="D56" s="148">
        <v>8</v>
      </c>
      <c r="E56" s="323">
        <v>2660</v>
      </c>
      <c r="F56" s="324">
        <v>2800</v>
      </c>
      <c r="G56" s="325">
        <v>4190</v>
      </c>
      <c r="H56" s="324">
        <v>4330</v>
      </c>
      <c r="I56" s="323"/>
      <c r="J56" s="324"/>
      <c r="K56" s="325"/>
      <c r="L56" s="324"/>
      <c r="M56" s="323"/>
      <c r="N56" s="324"/>
      <c r="O56" s="325"/>
      <c r="P56" s="324"/>
      <c r="Q56" s="323"/>
      <c r="R56" s="324"/>
      <c r="S56" s="325"/>
      <c r="T56" s="324"/>
      <c r="U56" s="323"/>
      <c r="V56" s="324"/>
      <c r="W56" s="325"/>
      <c r="X56" s="324"/>
      <c r="Y56" s="323"/>
      <c r="Z56" s="324"/>
      <c r="AA56" s="325"/>
      <c r="AB56" s="324"/>
      <c r="AC56" s="323"/>
      <c r="AD56" s="324"/>
      <c r="AE56" s="325"/>
      <c r="AF56" s="324"/>
      <c r="AG56" s="323"/>
      <c r="AH56" s="324"/>
      <c r="AI56" s="325"/>
      <c r="AJ56" s="324"/>
      <c r="AK56" s="323"/>
      <c r="AL56" s="324"/>
      <c r="AM56" s="325"/>
      <c r="AN56" s="324"/>
    </row>
    <row r="57" spans="1:40">
      <c r="A57" s="141" t="s">
        <v>637</v>
      </c>
      <c r="B57" s="142" t="s">
        <v>567</v>
      </c>
      <c r="C57" s="143">
        <v>106449</v>
      </c>
      <c r="D57" s="144">
        <v>9</v>
      </c>
      <c r="E57" s="323">
        <v>2670</v>
      </c>
      <c r="F57" s="324">
        <v>2670</v>
      </c>
      <c r="G57" s="325">
        <v>4350</v>
      </c>
      <c r="H57" s="324">
        <v>4350</v>
      </c>
      <c r="I57" s="323"/>
      <c r="J57" s="324"/>
      <c r="K57" s="325"/>
      <c r="L57" s="324"/>
      <c r="M57" s="323"/>
      <c r="N57" s="324"/>
      <c r="O57" s="325"/>
      <c r="P57" s="324"/>
      <c r="Q57" s="323"/>
      <c r="R57" s="324"/>
      <c r="S57" s="325"/>
      <c r="T57" s="324"/>
      <c r="U57" s="323"/>
      <c r="V57" s="324"/>
      <c r="W57" s="325"/>
      <c r="X57" s="324"/>
      <c r="Y57" s="323"/>
      <c r="Z57" s="324"/>
      <c r="AA57" s="325"/>
      <c r="AB57" s="324"/>
      <c r="AC57" s="323"/>
      <c r="AD57" s="324"/>
      <c r="AE57" s="325"/>
      <c r="AF57" s="324"/>
      <c r="AG57" s="323"/>
      <c r="AH57" s="324"/>
      <c r="AI57" s="325"/>
      <c r="AJ57" s="324"/>
      <c r="AK57" s="323"/>
      <c r="AL57" s="324"/>
      <c r="AM57" s="325"/>
      <c r="AN57" s="324"/>
    </row>
    <row r="58" spans="1:40">
      <c r="A58" s="141" t="s">
        <v>637</v>
      </c>
      <c r="B58" s="145" t="s">
        <v>568</v>
      </c>
      <c r="C58" s="143">
        <v>367459</v>
      </c>
      <c r="D58" s="144">
        <v>9</v>
      </c>
      <c r="E58" s="323">
        <v>2410</v>
      </c>
      <c r="F58" s="324">
        <v>2493</v>
      </c>
      <c r="G58" s="325">
        <v>4653</v>
      </c>
      <c r="H58" s="324">
        <v>4863</v>
      </c>
      <c r="I58" s="323"/>
      <c r="J58" s="324"/>
      <c r="K58" s="325"/>
      <c r="L58" s="324"/>
      <c r="M58" s="323"/>
      <c r="N58" s="324"/>
      <c r="O58" s="325"/>
      <c r="P58" s="324"/>
      <c r="Q58" s="323"/>
      <c r="R58" s="324"/>
      <c r="S58" s="325"/>
      <c r="T58" s="324"/>
      <c r="U58" s="323"/>
      <c r="V58" s="324"/>
      <c r="W58" s="325"/>
      <c r="X58" s="324"/>
      <c r="Y58" s="323"/>
      <c r="Z58" s="324"/>
      <c r="AA58" s="325"/>
      <c r="AB58" s="324"/>
      <c r="AC58" s="323"/>
      <c r="AD58" s="324"/>
      <c r="AE58" s="325"/>
      <c r="AF58" s="324"/>
      <c r="AG58" s="323"/>
      <c r="AH58" s="324"/>
      <c r="AI58" s="325"/>
      <c r="AJ58" s="324"/>
      <c r="AK58" s="323"/>
      <c r="AL58" s="324"/>
      <c r="AM58" s="325"/>
      <c r="AN58" s="324"/>
    </row>
    <row r="59" spans="1:40">
      <c r="A59" s="141" t="s">
        <v>637</v>
      </c>
      <c r="B59" s="142" t="s">
        <v>569</v>
      </c>
      <c r="C59" s="143">
        <v>107327</v>
      </c>
      <c r="D59" s="144">
        <v>10</v>
      </c>
      <c r="E59" s="323">
        <v>1720</v>
      </c>
      <c r="F59" s="324">
        <v>1780</v>
      </c>
      <c r="G59" s="325">
        <v>3520</v>
      </c>
      <c r="H59" s="324">
        <v>3580</v>
      </c>
      <c r="I59" s="323"/>
      <c r="J59" s="324"/>
      <c r="K59" s="325"/>
      <c r="L59" s="324"/>
      <c r="M59" s="323"/>
      <c r="N59" s="324"/>
      <c r="O59" s="325"/>
      <c r="P59" s="324"/>
      <c r="Q59" s="323"/>
      <c r="R59" s="324"/>
      <c r="S59" s="325"/>
      <c r="T59" s="324"/>
      <c r="U59" s="323"/>
      <c r="V59" s="324"/>
      <c r="W59" s="325"/>
      <c r="X59" s="324"/>
      <c r="Y59" s="323"/>
      <c r="Z59" s="324"/>
      <c r="AA59" s="325"/>
      <c r="AB59" s="324"/>
      <c r="AC59" s="323"/>
      <c r="AD59" s="324"/>
      <c r="AE59" s="325"/>
      <c r="AF59" s="324"/>
      <c r="AG59" s="323"/>
      <c r="AH59" s="324"/>
      <c r="AI59" s="325"/>
      <c r="AJ59" s="324"/>
      <c r="AK59" s="323"/>
      <c r="AL59" s="324"/>
      <c r="AM59" s="325"/>
      <c r="AN59" s="324"/>
    </row>
    <row r="60" spans="1:40">
      <c r="A60" s="141" t="s">
        <v>637</v>
      </c>
      <c r="B60" s="142" t="s">
        <v>570</v>
      </c>
      <c r="C60" s="143">
        <v>420538</v>
      </c>
      <c r="D60" s="144">
        <v>10</v>
      </c>
      <c r="E60" s="323">
        <v>2760</v>
      </c>
      <c r="F60" s="324">
        <v>2760</v>
      </c>
      <c r="G60" s="325">
        <v>4410</v>
      </c>
      <c r="H60" s="324">
        <v>4410</v>
      </c>
      <c r="I60" s="323"/>
      <c r="J60" s="324"/>
      <c r="K60" s="325"/>
      <c r="L60" s="324"/>
      <c r="M60" s="323"/>
      <c r="N60" s="324"/>
      <c r="O60" s="325"/>
      <c r="P60" s="324"/>
      <c r="Q60" s="323"/>
      <c r="R60" s="324"/>
      <c r="S60" s="325"/>
      <c r="T60" s="324"/>
      <c r="U60" s="323"/>
      <c r="V60" s="324"/>
      <c r="W60" s="325"/>
      <c r="X60" s="324"/>
      <c r="Y60" s="323"/>
      <c r="Z60" s="324"/>
      <c r="AA60" s="325"/>
      <c r="AB60" s="324"/>
      <c r="AC60" s="323"/>
      <c r="AD60" s="324"/>
      <c r="AE60" s="325"/>
      <c r="AF60" s="324"/>
      <c r="AG60" s="323"/>
      <c r="AH60" s="324"/>
      <c r="AI60" s="325"/>
      <c r="AJ60" s="324"/>
      <c r="AK60" s="323"/>
      <c r="AL60" s="324"/>
      <c r="AM60" s="325"/>
      <c r="AN60" s="324"/>
    </row>
    <row r="61" spans="1:40">
      <c r="A61" s="141" t="s">
        <v>637</v>
      </c>
      <c r="B61" s="142" t="s">
        <v>571</v>
      </c>
      <c r="C61" s="330">
        <v>440402</v>
      </c>
      <c r="D61" s="144">
        <v>10</v>
      </c>
      <c r="E61" s="323">
        <v>2400</v>
      </c>
      <c r="F61" s="324">
        <v>2400</v>
      </c>
      <c r="G61" s="325">
        <v>3930</v>
      </c>
      <c r="H61" s="324">
        <v>3930</v>
      </c>
      <c r="I61" s="323"/>
      <c r="J61" s="324"/>
      <c r="K61" s="325"/>
      <c r="L61" s="324"/>
      <c r="M61" s="323"/>
      <c r="N61" s="324"/>
      <c r="O61" s="325"/>
      <c r="P61" s="324"/>
      <c r="Q61" s="323"/>
      <c r="R61" s="324"/>
      <c r="S61" s="325"/>
      <c r="T61" s="324"/>
      <c r="U61" s="323"/>
      <c r="V61" s="324"/>
      <c r="W61" s="325"/>
      <c r="X61" s="324"/>
      <c r="Y61" s="323"/>
      <c r="Z61" s="324"/>
      <c r="AA61" s="325"/>
      <c r="AB61" s="324"/>
      <c r="AC61" s="323"/>
      <c r="AD61" s="324"/>
      <c r="AE61" s="325"/>
      <c r="AF61" s="324"/>
      <c r="AG61" s="323"/>
      <c r="AH61" s="324"/>
      <c r="AI61" s="325"/>
      <c r="AJ61" s="324"/>
      <c r="AK61" s="323"/>
      <c r="AL61" s="324"/>
      <c r="AM61" s="325"/>
      <c r="AN61" s="324"/>
    </row>
    <row r="62" spans="1:40">
      <c r="A62" s="141" t="s">
        <v>637</v>
      </c>
      <c r="B62" s="142" t="s">
        <v>572</v>
      </c>
      <c r="C62" s="143">
        <v>106625</v>
      </c>
      <c r="D62" s="144">
        <v>10</v>
      </c>
      <c r="E62" s="323">
        <v>2190</v>
      </c>
      <c r="F62" s="324">
        <v>2190</v>
      </c>
      <c r="G62" s="325">
        <v>5550</v>
      </c>
      <c r="H62" s="324">
        <v>5550</v>
      </c>
      <c r="I62" s="323"/>
      <c r="J62" s="324"/>
      <c r="K62" s="325"/>
      <c r="L62" s="324"/>
      <c r="M62" s="323"/>
      <c r="N62" s="324"/>
      <c r="O62" s="325"/>
      <c r="P62" s="324"/>
      <c r="Q62" s="323"/>
      <c r="R62" s="324"/>
      <c r="S62" s="325"/>
      <c r="T62" s="324"/>
      <c r="U62" s="323"/>
      <c r="V62" s="324"/>
      <c r="W62" s="325"/>
      <c r="X62" s="324"/>
      <c r="Y62" s="323"/>
      <c r="Z62" s="324"/>
      <c r="AA62" s="325"/>
      <c r="AB62" s="324"/>
      <c r="AC62" s="323"/>
      <c r="AD62" s="324"/>
      <c r="AE62" s="325"/>
      <c r="AF62" s="324"/>
      <c r="AG62" s="323"/>
      <c r="AH62" s="324"/>
      <c r="AI62" s="325"/>
      <c r="AJ62" s="324"/>
      <c r="AK62" s="323"/>
      <c r="AL62" s="324"/>
      <c r="AM62" s="325"/>
      <c r="AN62" s="324"/>
    </row>
    <row r="63" spans="1:40">
      <c r="A63" s="141" t="s">
        <v>637</v>
      </c>
      <c r="B63" s="149" t="s">
        <v>573</v>
      </c>
      <c r="C63" s="143">
        <v>106795</v>
      </c>
      <c r="D63" s="144">
        <v>10</v>
      </c>
      <c r="E63" s="323">
        <v>1620</v>
      </c>
      <c r="F63" s="324">
        <v>1720</v>
      </c>
      <c r="G63" s="325">
        <v>5220</v>
      </c>
      <c r="H63" s="331">
        <v>4780</v>
      </c>
      <c r="I63" s="323"/>
      <c r="J63" s="324"/>
      <c r="K63" s="325"/>
      <c r="L63" s="324"/>
      <c r="M63" s="323"/>
      <c r="N63" s="324"/>
      <c r="O63" s="325"/>
      <c r="P63" s="324"/>
      <c r="Q63" s="323"/>
      <c r="R63" s="324"/>
      <c r="S63" s="325"/>
      <c r="T63" s="324"/>
      <c r="U63" s="323"/>
      <c r="V63" s="324"/>
      <c r="W63" s="325"/>
      <c r="X63" s="324"/>
      <c r="Y63" s="323"/>
      <c r="Z63" s="324"/>
      <c r="AA63" s="325"/>
      <c r="AB63" s="324"/>
      <c r="AC63" s="323"/>
      <c r="AD63" s="324"/>
      <c r="AE63" s="325"/>
      <c r="AF63" s="324"/>
      <c r="AG63" s="323"/>
      <c r="AH63" s="324"/>
      <c r="AI63" s="325"/>
      <c r="AJ63" s="324"/>
      <c r="AK63" s="323"/>
      <c r="AL63" s="324"/>
      <c r="AM63" s="325"/>
      <c r="AN63" s="324"/>
    </row>
    <row r="64" spans="1:40">
      <c r="A64" s="141" t="s">
        <v>637</v>
      </c>
      <c r="B64" s="142" t="s">
        <v>574</v>
      </c>
      <c r="C64" s="143">
        <v>106883</v>
      </c>
      <c r="D64" s="144">
        <v>10</v>
      </c>
      <c r="E64" s="323">
        <v>1890</v>
      </c>
      <c r="F64" s="324">
        <v>2040</v>
      </c>
      <c r="G64" s="325">
        <v>2550</v>
      </c>
      <c r="H64" s="324">
        <v>2700</v>
      </c>
      <c r="I64" s="323"/>
      <c r="J64" s="324"/>
      <c r="K64" s="325"/>
      <c r="L64" s="324"/>
      <c r="M64" s="323"/>
      <c r="N64" s="324"/>
      <c r="O64" s="325"/>
      <c r="P64" s="324"/>
      <c r="Q64" s="323"/>
      <c r="R64" s="324"/>
      <c r="S64" s="325"/>
      <c r="T64" s="324"/>
      <c r="U64" s="323"/>
      <c r="V64" s="324"/>
      <c r="W64" s="325"/>
      <c r="X64" s="324"/>
      <c r="Y64" s="323"/>
      <c r="Z64" s="324"/>
      <c r="AA64" s="325"/>
      <c r="AB64" s="324"/>
      <c r="AC64" s="323"/>
      <c r="AD64" s="324"/>
      <c r="AE64" s="325"/>
      <c r="AF64" s="324"/>
      <c r="AG64" s="323"/>
      <c r="AH64" s="324"/>
      <c r="AI64" s="325"/>
      <c r="AJ64" s="324"/>
      <c r="AK64" s="323"/>
      <c r="AL64" s="324"/>
      <c r="AM64" s="325"/>
      <c r="AN64" s="324"/>
    </row>
    <row r="65" spans="1:45">
      <c r="A65" s="141" t="s">
        <v>637</v>
      </c>
      <c r="B65" s="142" t="s">
        <v>575</v>
      </c>
      <c r="C65" s="143">
        <v>107318</v>
      </c>
      <c r="D65" s="144">
        <v>10</v>
      </c>
      <c r="E65" s="323">
        <v>1950</v>
      </c>
      <c r="F65" s="324">
        <v>2120</v>
      </c>
      <c r="G65" s="325">
        <v>3930</v>
      </c>
      <c r="H65" s="324">
        <v>4370</v>
      </c>
      <c r="I65" s="323"/>
      <c r="J65" s="324"/>
      <c r="K65" s="325"/>
      <c r="L65" s="324"/>
      <c r="M65" s="323"/>
      <c r="N65" s="324"/>
      <c r="O65" s="325"/>
      <c r="P65" s="324"/>
      <c r="Q65" s="323"/>
      <c r="R65" s="324"/>
      <c r="S65" s="325"/>
      <c r="T65" s="324"/>
      <c r="U65" s="323"/>
      <c r="V65" s="324"/>
      <c r="W65" s="325"/>
      <c r="X65" s="324"/>
      <c r="Y65" s="323"/>
      <c r="Z65" s="324"/>
      <c r="AA65" s="325"/>
      <c r="AB65" s="324"/>
      <c r="AC65" s="323"/>
      <c r="AD65" s="324"/>
      <c r="AE65" s="325"/>
      <c r="AF65" s="324"/>
      <c r="AG65" s="323"/>
      <c r="AH65" s="324"/>
      <c r="AI65" s="325"/>
      <c r="AJ65" s="324"/>
      <c r="AK65" s="323"/>
      <c r="AL65" s="324"/>
      <c r="AM65" s="325"/>
      <c r="AN65" s="324"/>
    </row>
    <row r="66" spans="1:45">
      <c r="A66" s="141" t="s">
        <v>637</v>
      </c>
      <c r="B66" s="228" t="s">
        <v>576</v>
      </c>
      <c r="C66" s="143">
        <v>106980</v>
      </c>
      <c r="D66" s="144">
        <v>10</v>
      </c>
      <c r="E66" s="323">
        <v>2050</v>
      </c>
      <c r="F66" s="324">
        <v>2200</v>
      </c>
      <c r="G66" s="325">
        <v>4270</v>
      </c>
      <c r="H66" s="324">
        <v>4270</v>
      </c>
      <c r="I66" s="323"/>
      <c r="J66" s="324"/>
      <c r="K66" s="325"/>
      <c r="L66" s="324"/>
      <c r="M66" s="323"/>
      <c r="N66" s="324"/>
      <c r="O66" s="325"/>
      <c r="P66" s="324"/>
      <c r="Q66" s="323"/>
      <c r="R66" s="324"/>
      <c r="S66" s="325"/>
      <c r="T66" s="324"/>
      <c r="U66" s="323"/>
      <c r="V66" s="324"/>
      <c r="W66" s="325"/>
      <c r="X66" s="324"/>
      <c r="Y66" s="323"/>
      <c r="Z66" s="324"/>
      <c r="AA66" s="325"/>
      <c r="AB66" s="324"/>
      <c r="AC66" s="323"/>
      <c r="AD66" s="324"/>
      <c r="AE66" s="325"/>
      <c r="AF66" s="324"/>
      <c r="AG66" s="323"/>
      <c r="AH66" s="324"/>
      <c r="AI66" s="325"/>
      <c r="AJ66" s="324"/>
      <c r="AK66" s="323"/>
      <c r="AL66" s="324"/>
      <c r="AM66" s="325"/>
      <c r="AN66" s="324"/>
    </row>
    <row r="67" spans="1:45">
      <c r="A67" s="141" t="s">
        <v>637</v>
      </c>
      <c r="B67" s="142" t="s">
        <v>577</v>
      </c>
      <c r="C67" s="143">
        <v>107460</v>
      </c>
      <c r="D67" s="144">
        <v>10</v>
      </c>
      <c r="E67" s="323">
        <v>1800</v>
      </c>
      <c r="F67" s="324">
        <v>1800</v>
      </c>
      <c r="G67" s="325">
        <v>4590</v>
      </c>
      <c r="H67" s="324">
        <v>4590</v>
      </c>
      <c r="I67" s="323"/>
      <c r="J67" s="324"/>
      <c r="K67" s="325"/>
      <c r="L67" s="324"/>
      <c r="M67" s="323"/>
      <c r="N67" s="324"/>
      <c r="O67" s="325"/>
      <c r="P67" s="324"/>
      <c r="Q67" s="323"/>
      <c r="R67" s="324"/>
      <c r="S67" s="325"/>
      <c r="T67" s="324"/>
      <c r="U67" s="323"/>
      <c r="V67" s="324"/>
      <c r="W67" s="325"/>
      <c r="X67" s="324"/>
      <c r="Y67" s="323"/>
      <c r="Z67" s="324"/>
      <c r="AA67" s="325"/>
      <c r="AB67" s="324"/>
      <c r="AC67" s="323"/>
      <c r="AD67" s="324"/>
      <c r="AE67" s="325"/>
      <c r="AF67" s="324"/>
      <c r="AG67" s="323"/>
      <c r="AH67" s="324"/>
      <c r="AI67" s="325"/>
      <c r="AJ67" s="324"/>
      <c r="AK67" s="323"/>
      <c r="AL67" s="324"/>
      <c r="AM67" s="325"/>
      <c r="AN67" s="324"/>
    </row>
    <row r="68" spans="1:45">
      <c r="A68" s="141" t="s">
        <v>637</v>
      </c>
      <c r="B68" s="142" t="s">
        <v>578</v>
      </c>
      <c r="C68" s="143">
        <v>107521</v>
      </c>
      <c r="D68" s="144">
        <v>10</v>
      </c>
      <c r="E68" s="323">
        <v>2130</v>
      </c>
      <c r="F68" s="324">
        <v>2252</v>
      </c>
      <c r="G68" s="325">
        <v>3810</v>
      </c>
      <c r="H68" s="324">
        <v>4022</v>
      </c>
      <c r="I68" s="323"/>
      <c r="J68" s="324"/>
      <c r="K68" s="325"/>
      <c r="L68" s="324"/>
      <c r="M68" s="323"/>
      <c r="N68" s="324"/>
      <c r="O68" s="325"/>
      <c r="P68" s="324"/>
      <c r="Q68" s="323"/>
      <c r="R68" s="324"/>
      <c r="S68" s="325"/>
      <c r="T68" s="324"/>
      <c r="U68" s="323"/>
      <c r="V68" s="324"/>
      <c r="W68" s="325"/>
      <c r="X68" s="324"/>
      <c r="Y68" s="323"/>
      <c r="Z68" s="324"/>
      <c r="AA68" s="325"/>
      <c r="AB68" s="324"/>
      <c r="AC68" s="323"/>
      <c r="AD68" s="324"/>
      <c r="AE68" s="325"/>
      <c r="AF68" s="324"/>
      <c r="AG68" s="323"/>
      <c r="AH68" s="324"/>
      <c r="AI68" s="325"/>
      <c r="AJ68" s="324"/>
      <c r="AK68" s="323"/>
      <c r="AL68" s="324"/>
      <c r="AM68" s="325"/>
      <c r="AN68" s="324"/>
    </row>
    <row r="69" spans="1:45">
      <c r="A69" s="141" t="s">
        <v>637</v>
      </c>
      <c r="B69" s="142" t="s">
        <v>579</v>
      </c>
      <c r="C69" s="143">
        <v>107549</v>
      </c>
      <c r="D69" s="144">
        <v>10</v>
      </c>
      <c r="E69" s="323">
        <v>2570</v>
      </c>
      <c r="F69" s="324">
        <v>2570</v>
      </c>
      <c r="G69" s="325">
        <v>5660</v>
      </c>
      <c r="H69" s="324">
        <v>5110</v>
      </c>
      <c r="I69" s="323"/>
      <c r="J69" s="324"/>
      <c r="K69" s="325"/>
      <c r="L69" s="324"/>
      <c r="M69" s="323"/>
      <c r="N69" s="324"/>
      <c r="O69" s="325"/>
      <c r="P69" s="324"/>
      <c r="Q69" s="323"/>
      <c r="R69" s="324"/>
      <c r="S69" s="325"/>
      <c r="T69" s="324"/>
      <c r="U69" s="323"/>
      <c r="V69" s="324"/>
      <c r="W69" s="325"/>
      <c r="X69" s="324"/>
      <c r="Y69" s="323"/>
      <c r="Z69" s="324"/>
      <c r="AA69" s="325"/>
      <c r="AB69" s="324"/>
      <c r="AC69" s="323"/>
      <c r="AD69" s="324"/>
      <c r="AE69" s="325"/>
      <c r="AF69" s="324"/>
      <c r="AG69" s="323"/>
      <c r="AH69" s="324"/>
      <c r="AI69" s="325"/>
      <c r="AJ69" s="324"/>
      <c r="AK69" s="323"/>
      <c r="AL69" s="324"/>
      <c r="AM69" s="325"/>
      <c r="AN69" s="324"/>
    </row>
    <row r="70" spans="1:45">
      <c r="A70" s="141" t="s">
        <v>637</v>
      </c>
      <c r="B70" s="142" t="s">
        <v>580</v>
      </c>
      <c r="C70" s="143">
        <v>107619</v>
      </c>
      <c r="D70" s="144">
        <v>10</v>
      </c>
      <c r="E70" s="323">
        <v>2030</v>
      </c>
      <c r="F70" s="324">
        <v>2030</v>
      </c>
      <c r="G70" s="325">
        <v>3440</v>
      </c>
      <c r="H70" s="324">
        <v>3440</v>
      </c>
      <c r="I70" s="323"/>
      <c r="J70" s="324"/>
      <c r="K70" s="325"/>
      <c r="L70" s="324"/>
      <c r="M70" s="323"/>
      <c r="N70" s="324"/>
      <c r="O70" s="325"/>
      <c r="P70" s="324"/>
      <c r="Q70" s="323"/>
      <c r="R70" s="324"/>
      <c r="S70" s="325"/>
      <c r="T70" s="324"/>
      <c r="U70" s="323"/>
      <c r="V70" s="324"/>
      <c r="W70" s="325"/>
      <c r="X70" s="324"/>
      <c r="Y70" s="323"/>
      <c r="Z70" s="324"/>
      <c r="AA70" s="325"/>
      <c r="AB70" s="324"/>
      <c r="AC70" s="323"/>
      <c r="AD70" s="324"/>
      <c r="AE70" s="325"/>
      <c r="AF70" s="324"/>
      <c r="AG70" s="323"/>
      <c r="AH70" s="324"/>
      <c r="AI70" s="325"/>
      <c r="AJ70" s="324"/>
      <c r="AK70" s="323"/>
      <c r="AL70" s="324"/>
      <c r="AM70" s="325"/>
      <c r="AN70" s="324"/>
    </row>
    <row r="71" spans="1:45">
      <c r="A71" s="141" t="s">
        <v>637</v>
      </c>
      <c r="B71" s="142" t="s">
        <v>581</v>
      </c>
      <c r="C71" s="143">
        <v>107743</v>
      </c>
      <c r="D71" s="144">
        <v>10</v>
      </c>
      <c r="E71" s="323">
        <v>1620</v>
      </c>
      <c r="F71" s="324">
        <v>1830</v>
      </c>
      <c r="G71" s="325">
        <v>5190</v>
      </c>
      <c r="H71" s="324">
        <v>5280</v>
      </c>
      <c r="I71" s="323"/>
      <c r="J71" s="324"/>
      <c r="K71" s="325"/>
      <c r="L71" s="324"/>
      <c r="M71" s="323"/>
      <c r="N71" s="324"/>
      <c r="O71" s="325"/>
      <c r="P71" s="324"/>
      <c r="Q71" s="323"/>
      <c r="R71" s="324"/>
      <c r="S71" s="325"/>
      <c r="T71" s="324"/>
      <c r="U71" s="323"/>
      <c r="V71" s="324"/>
      <c r="W71" s="325"/>
      <c r="X71" s="324"/>
      <c r="Y71" s="323"/>
      <c r="Z71" s="324"/>
      <c r="AA71" s="325"/>
      <c r="AB71" s="324"/>
      <c r="AC71" s="323"/>
      <c r="AD71" s="324"/>
      <c r="AE71" s="325"/>
      <c r="AF71" s="324"/>
      <c r="AG71" s="323"/>
      <c r="AH71" s="324"/>
      <c r="AI71" s="325"/>
      <c r="AJ71" s="324"/>
      <c r="AK71" s="323"/>
      <c r="AL71" s="324"/>
      <c r="AM71" s="325"/>
      <c r="AN71" s="324"/>
    </row>
    <row r="72" spans="1:45">
      <c r="A72" s="141" t="s">
        <v>637</v>
      </c>
      <c r="B72" s="142" t="s">
        <v>582</v>
      </c>
      <c r="C72" s="143">
        <v>107974</v>
      </c>
      <c r="D72" s="144">
        <v>10</v>
      </c>
      <c r="E72" s="323">
        <v>2170</v>
      </c>
      <c r="F72" s="324">
        <v>2230</v>
      </c>
      <c r="G72" s="325">
        <v>4240</v>
      </c>
      <c r="H72" s="324">
        <v>4360</v>
      </c>
      <c r="I72" s="323"/>
      <c r="J72" s="324"/>
      <c r="K72" s="325"/>
      <c r="L72" s="324"/>
      <c r="M72" s="323"/>
      <c r="N72" s="324"/>
      <c r="O72" s="325"/>
      <c r="P72" s="324"/>
      <c r="Q72" s="323"/>
      <c r="R72" s="324"/>
      <c r="S72" s="325"/>
      <c r="T72" s="324"/>
      <c r="U72" s="323"/>
      <c r="V72" s="324"/>
      <c r="W72" s="325"/>
      <c r="X72" s="324"/>
      <c r="Y72" s="323"/>
      <c r="Z72" s="324"/>
      <c r="AA72" s="325"/>
      <c r="AB72" s="324"/>
      <c r="AC72" s="323"/>
      <c r="AD72" s="324"/>
      <c r="AE72" s="325"/>
      <c r="AF72" s="324"/>
      <c r="AG72" s="323"/>
      <c r="AH72" s="324"/>
      <c r="AI72" s="325"/>
      <c r="AJ72" s="324"/>
      <c r="AK72" s="323"/>
      <c r="AL72" s="324"/>
      <c r="AM72" s="325"/>
      <c r="AN72" s="324"/>
    </row>
    <row r="73" spans="1:45">
      <c r="A73" s="141" t="s">
        <v>637</v>
      </c>
      <c r="B73" s="142" t="s">
        <v>583</v>
      </c>
      <c r="C73" s="143">
        <v>107637</v>
      </c>
      <c r="D73" s="144">
        <v>10</v>
      </c>
      <c r="E73" s="323">
        <v>2320</v>
      </c>
      <c r="F73" s="324">
        <v>2320</v>
      </c>
      <c r="G73" s="325">
        <v>4360</v>
      </c>
      <c r="H73" s="324">
        <v>4360</v>
      </c>
      <c r="I73" s="323"/>
      <c r="J73" s="324"/>
      <c r="K73" s="325"/>
      <c r="L73" s="324"/>
      <c r="M73" s="323"/>
      <c r="N73" s="324"/>
      <c r="O73" s="325"/>
      <c r="P73" s="324"/>
      <c r="Q73" s="323"/>
      <c r="R73" s="324"/>
      <c r="S73" s="325"/>
      <c r="T73" s="324"/>
      <c r="U73" s="323"/>
      <c r="V73" s="324"/>
      <c r="W73" s="325"/>
      <c r="X73" s="324"/>
      <c r="Y73" s="323"/>
      <c r="Z73" s="324"/>
      <c r="AA73" s="325"/>
      <c r="AB73" s="324"/>
      <c r="AC73" s="323"/>
      <c r="AD73" s="324"/>
      <c r="AE73" s="325"/>
      <c r="AF73" s="324"/>
      <c r="AG73" s="323"/>
      <c r="AH73" s="324"/>
      <c r="AI73" s="325"/>
      <c r="AJ73" s="324"/>
      <c r="AK73" s="323"/>
      <c r="AL73" s="324"/>
      <c r="AM73" s="325"/>
      <c r="AN73" s="324"/>
    </row>
    <row r="74" spans="1:45">
      <c r="A74" s="141" t="s">
        <v>637</v>
      </c>
      <c r="B74" s="142" t="s">
        <v>584</v>
      </c>
      <c r="C74" s="143">
        <v>107992</v>
      </c>
      <c r="D74" s="144">
        <v>10</v>
      </c>
      <c r="E74" s="323">
        <v>3030</v>
      </c>
      <c r="F74" s="324">
        <v>3180</v>
      </c>
      <c r="G74" s="325">
        <v>4260</v>
      </c>
      <c r="H74" s="324">
        <v>4500</v>
      </c>
      <c r="I74" s="323"/>
      <c r="J74" s="324"/>
      <c r="K74" s="325"/>
      <c r="L74" s="324"/>
      <c r="M74" s="323"/>
      <c r="N74" s="324"/>
      <c r="O74" s="325"/>
      <c r="P74" s="324"/>
      <c r="Q74" s="323"/>
      <c r="R74" s="324"/>
      <c r="S74" s="325"/>
      <c r="T74" s="324"/>
      <c r="U74" s="323"/>
      <c r="V74" s="324"/>
      <c r="W74" s="325"/>
      <c r="X74" s="324"/>
      <c r="Y74" s="323"/>
      <c r="Z74" s="324"/>
      <c r="AA74" s="325"/>
      <c r="AB74" s="324"/>
      <c r="AC74" s="323"/>
      <c r="AD74" s="324"/>
      <c r="AE74" s="325"/>
      <c r="AF74" s="324"/>
      <c r="AG74" s="323"/>
      <c r="AH74" s="324"/>
      <c r="AI74" s="325"/>
      <c r="AJ74" s="324"/>
      <c r="AK74" s="323"/>
      <c r="AL74" s="324"/>
      <c r="AM74" s="325"/>
      <c r="AN74" s="324"/>
    </row>
    <row r="75" spans="1:45">
      <c r="A75" s="141" t="s">
        <v>637</v>
      </c>
      <c r="B75" s="142" t="s">
        <v>585</v>
      </c>
      <c r="C75" s="143">
        <v>106999</v>
      </c>
      <c r="D75" s="144">
        <v>10</v>
      </c>
      <c r="E75" s="323">
        <v>2135</v>
      </c>
      <c r="F75" s="324">
        <v>2210</v>
      </c>
      <c r="G75" s="325">
        <v>4175</v>
      </c>
      <c r="H75" s="324">
        <v>4190</v>
      </c>
      <c r="I75" s="323"/>
      <c r="J75" s="324"/>
      <c r="K75" s="325"/>
      <c r="L75" s="324"/>
      <c r="M75" s="323"/>
      <c r="N75" s="324"/>
      <c r="O75" s="325"/>
      <c r="P75" s="324"/>
      <c r="Q75" s="323"/>
      <c r="R75" s="324"/>
      <c r="S75" s="325"/>
      <c r="T75" s="324"/>
      <c r="U75" s="323"/>
      <c r="V75" s="324"/>
      <c r="W75" s="325"/>
      <c r="X75" s="324"/>
      <c r="Y75" s="323"/>
      <c r="Z75" s="324"/>
      <c r="AA75" s="325"/>
      <c r="AB75" s="324"/>
      <c r="AC75" s="323"/>
      <c r="AD75" s="324"/>
      <c r="AE75" s="325"/>
      <c r="AF75" s="324"/>
      <c r="AG75" s="323"/>
      <c r="AH75" s="324"/>
      <c r="AI75" s="325"/>
      <c r="AJ75" s="324"/>
      <c r="AK75" s="323"/>
      <c r="AL75" s="324"/>
      <c r="AM75" s="325"/>
      <c r="AN75" s="324"/>
    </row>
    <row r="76" spans="1:45">
      <c r="A76" s="141" t="s">
        <v>637</v>
      </c>
      <c r="B76" s="142" t="s">
        <v>586</v>
      </c>
      <c r="C76" s="143">
        <v>107725</v>
      </c>
      <c r="D76" s="144">
        <v>10</v>
      </c>
      <c r="E76" s="323">
        <v>1866</v>
      </c>
      <c r="F76" s="324">
        <v>1866</v>
      </c>
      <c r="G76" s="325">
        <v>3696</v>
      </c>
      <c r="H76" s="324">
        <v>3696</v>
      </c>
      <c r="I76" s="323"/>
      <c r="J76" s="324"/>
      <c r="K76" s="325"/>
      <c r="L76" s="324"/>
      <c r="M76" s="323"/>
      <c r="N76" s="324"/>
      <c r="O76" s="325"/>
      <c r="P76" s="324"/>
      <c r="Q76" s="323"/>
      <c r="R76" s="324"/>
      <c r="S76" s="325"/>
      <c r="T76" s="324"/>
      <c r="U76" s="323"/>
      <c r="V76" s="324"/>
      <c r="W76" s="325"/>
      <c r="X76" s="324"/>
      <c r="Y76" s="323"/>
      <c r="Z76" s="324"/>
      <c r="AA76" s="325"/>
      <c r="AB76" s="324"/>
      <c r="AC76" s="323"/>
      <c r="AD76" s="324"/>
      <c r="AE76" s="325"/>
      <c r="AF76" s="324"/>
      <c r="AG76" s="323"/>
      <c r="AH76" s="324"/>
      <c r="AI76" s="325"/>
      <c r="AJ76" s="324"/>
      <c r="AK76" s="323"/>
      <c r="AL76" s="324"/>
      <c r="AM76" s="325"/>
      <c r="AN76" s="324"/>
    </row>
    <row r="77" spans="1:45">
      <c r="A77" s="141" t="s">
        <v>637</v>
      </c>
      <c r="B77" s="149" t="s">
        <v>587</v>
      </c>
      <c r="C77" s="143">
        <v>107585</v>
      </c>
      <c r="D77" s="144">
        <v>10</v>
      </c>
      <c r="E77" s="323">
        <v>2520</v>
      </c>
      <c r="F77" s="324">
        <v>2640</v>
      </c>
      <c r="G77" s="325">
        <v>3720</v>
      </c>
      <c r="H77" s="324">
        <v>3900</v>
      </c>
      <c r="I77" s="323"/>
      <c r="J77" s="324"/>
      <c r="K77" s="325"/>
      <c r="L77" s="324"/>
      <c r="M77" s="323"/>
      <c r="N77" s="324"/>
      <c r="O77" s="325"/>
      <c r="P77" s="324"/>
      <c r="Q77" s="323"/>
      <c r="R77" s="324"/>
      <c r="S77" s="325"/>
      <c r="T77" s="324"/>
      <c r="U77" s="323"/>
      <c r="V77" s="324"/>
      <c r="W77" s="325"/>
      <c r="X77" s="324"/>
      <c r="Y77" s="323"/>
      <c r="Z77" s="324"/>
      <c r="AA77" s="325"/>
      <c r="AB77" s="324"/>
      <c r="AC77" s="323"/>
      <c r="AD77" s="324"/>
      <c r="AE77" s="325"/>
      <c r="AF77" s="324"/>
      <c r="AG77" s="323"/>
      <c r="AH77" s="324"/>
      <c r="AI77" s="325"/>
      <c r="AJ77" s="324"/>
      <c r="AK77" s="323"/>
      <c r="AL77" s="324"/>
      <c r="AM77" s="325"/>
      <c r="AN77" s="324"/>
    </row>
    <row r="78" spans="1:45">
      <c r="A78" s="141" t="s">
        <v>637</v>
      </c>
      <c r="B78" s="142" t="s">
        <v>588</v>
      </c>
      <c r="C78" s="143">
        <v>106263</v>
      </c>
      <c r="D78" s="144">
        <v>15</v>
      </c>
      <c r="E78" s="332">
        <v>4981</v>
      </c>
      <c r="F78" s="324">
        <v>5233</v>
      </c>
      <c r="G78" s="333">
        <v>12085</v>
      </c>
      <c r="H78" s="324">
        <v>12697</v>
      </c>
      <c r="I78" s="332">
        <v>5849</v>
      </c>
      <c r="J78" s="324">
        <v>6081</v>
      </c>
      <c r="K78" s="333">
        <v>12289</v>
      </c>
      <c r="L78" s="324">
        <v>12781</v>
      </c>
      <c r="M78" s="323"/>
      <c r="N78" s="324"/>
      <c r="O78" s="325"/>
      <c r="P78" s="324"/>
      <c r="Q78" s="332">
        <v>17244</v>
      </c>
      <c r="R78" s="324">
        <v>17951</v>
      </c>
      <c r="S78" s="333">
        <v>33708</v>
      </c>
      <c r="T78" s="324">
        <v>35075</v>
      </c>
      <c r="U78" s="323"/>
      <c r="V78" s="324"/>
      <c r="W78" s="325"/>
      <c r="X78" s="324"/>
      <c r="Y78" s="332">
        <v>9869</v>
      </c>
      <c r="Z78" s="324">
        <v>10363</v>
      </c>
      <c r="AA78" s="325">
        <v>19509</v>
      </c>
      <c r="AB78" s="324">
        <v>20483</v>
      </c>
      <c r="AC78" s="323"/>
      <c r="AD78" s="324"/>
      <c r="AE78" s="325"/>
      <c r="AF78" s="324"/>
      <c r="AG78" s="323"/>
      <c r="AH78" s="324"/>
      <c r="AI78" s="325"/>
      <c r="AJ78" s="324"/>
      <c r="AK78" s="323"/>
      <c r="AL78" s="324"/>
      <c r="AM78" s="325"/>
      <c r="AN78" s="324"/>
    </row>
    <row r="79" spans="1:45" s="500" customFormat="1">
      <c r="A79" s="166" t="s">
        <v>638</v>
      </c>
      <c r="B79" s="497" t="s">
        <v>1151</v>
      </c>
      <c r="C79" s="498">
        <v>130943</v>
      </c>
      <c r="D79" s="499">
        <v>1</v>
      </c>
      <c r="E79" s="323">
        <v>8646</v>
      </c>
      <c r="F79" s="324">
        <v>9486</v>
      </c>
      <c r="G79" s="325">
        <v>21126</v>
      </c>
      <c r="H79" s="324">
        <v>23186</v>
      </c>
      <c r="I79" s="323">
        <v>8466</v>
      </c>
      <c r="J79" s="505">
        <v>22952</v>
      </c>
      <c r="K79" s="325">
        <v>20946</v>
      </c>
      <c r="L79" s="324">
        <v>22952</v>
      </c>
      <c r="M79" s="323"/>
      <c r="N79" s="324"/>
      <c r="O79" s="325"/>
      <c r="P79" s="324"/>
      <c r="Q79" s="323"/>
      <c r="R79" s="324"/>
      <c r="S79" s="325"/>
      <c r="T79" s="324"/>
      <c r="U79" s="323"/>
      <c r="V79" s="324"/>
      <c r="W79" s="325"/>
      <c r="X79" s="324"/>
      <c r="Y79" s="323"/>
      <c r="Z79" s="324"/>
      <c r="AA79" s="325"/>
      <c r="AB79" s="324"/>
      <c r="AC79" s="323"/>
      <c r="AD79" s="324"/>
      <c r="AE79" s="325"/>
      <c r="AF79" s="324"/>
      <c r="AG79" s="323"/>
      <c r="AH79" s="324"/>
      <c r="AI79" s="325"/>
      <c r="AJ79" s="324"/>
      <c r="AK79" s="323"/>
      <c r="AL79" s="324"/>
      <c r="AM79" s="325"/>
      <c r="AN79" s="324"/>
      <c r="AO79" s="86"/>
      <c r="AP79" s="86"/>
      <c r="AQ79" s="86"/>
      <c r="AR79" s="86"/>
      <c r="AS79" s="86"/>
    </row>
    <row r="80" spans="1:45" s="453" customFormat="1">
      <c r="A80" s="567" t="s">
        <v>638</v>
      </c>
      <c r="B80" s="497" t="s">
        <v>1152</v>
      </c>
      <c r="C80" s="498">
        <v>130934</v>
      </c>
      <c r="D80" s="499">
        <v>4</v>
      </c>
      <c r="E80" s="323">
        <v>6481</v>
      </c>
      <c r="F80" s="324">
        <v>6481</v>
      </c>
      <c r="G80" s="325">
        <v>13742</v>
      </c>
      <c r="H80" s="324">
        <v>13742</v>
      </c>
      <c r="I80" s="323">
        <v>6914</v>
      </c>
      <c r="J80" s="505">
        <v>4730</v>
      </c>
      <c r="K80" s="325">
        <v>14786</v>
      </c>
      <c r="L80" s="505">
        <v>9974</v>
      </c>
      <c r="M80" s="323"/>
      <c r="N80" s="324"/>
      <c r="O80" s="325"/>
      <c r="P80" s="324"/>
      <c r="Q80" s="323"/>
      <c r="R80" s="324"/>
      <c r="S80" s="325"/>
      <c r="T80" s="324"/>
      <c r="U80" s="323"/>
      <c r="V80" s="324"/>
      <c r="W80" s="325"/>
      <c r="X80" s="324"/>
      <c r="Y80" s="323"/>
      <c r="Z80" s="324"/>
      <c r="AA80" s="325"/>
      <c r="AB80" s="324"/>
      <c r="AC80" s="323"/>
      <c r="AD80" s="324"/>
      <c r="AE80" s="325"/>
      <c r="AF80" s="324"/>
      <c r="AG80" s="323"/>
      <c r="AH80" s="324"/>
      <c r="AI80" s="325"/>
      <c r="AJ80" s="324"/>
      <c r="AK80" s="323"/>
      <c r="AL80" s="324"/>
      <c r="AM80" s="325"/>
      <c r="AN80" s="324"/>
      <c r="AO80" s="86"/>
      <c r="AP80" s="86"/>
      <c r="AQ80" s="86"/>
      <c r="AR80" s="86"/>
      <c r="AS80" s="86"/>
    </row>
    <row r="81" spans="1:45" s="453" customFormat="1">
      <c r="A81" s="567" t="s">
        <v>638</v>
      </c>
      <c r="B81" s="501" t="s">
        <v>1153</v>
      </c>
      <c r="C81" s="498">
        <v>130891</v>
      </c>
      <c r="D81" s="499">
        <v>9</v>
      </c>
      <c r="E81" s="323">
        <v>2684</v>
      </c>
      <c r="F81" s="324">
        <v>2816</v>
      </c>
      <c r="G81" s="325">
        <v>6194</v>
      </c>
      <c r="H81" s="324">
        <v>6524</v>
      </c>
      <c r="I81" s="323"/>
      <c r="J81" s="324"/>
      <c r="K81" s="325"/>
      <c r="L81" s="324"/>
      <c r="M81" s="323"/>
      <c r="N81" s="324"/>
      <c r="O81" s="325"/>
      <c r="P81" s="324"/>
      <c r="Q81" s="323"/>
      <c r="R81" s="324"/>
      <c r="S81" s="325"/>
      <c r="T81" s="324"/>
      <c r="U81" s="323"/>
      <c r="V81" s="324"/>
      <c r="W81" s="325"/>
      <c r="X81" s="324"/>
      <c r="Y81" s="323"/>
      <c r="Z81" s="324"/>
      <c r="AA81" s="325"/>
      <c r="AB81" s="324"/>
      <c r="AC81" s="323"/>
      <c r="AD81" s="324"/>
      <c r="AE81" s="325"/>
      <c r="AF81" s="324"/>
      <c r="AG81" s="323"/>
      <c r="AH81" s="324"/>
      <c r="AI81" s="325"/>
      <c r="AJ81" s="324"/>
      <c r="AK81" s="323"/>
      <c r="AL81" s="324"/>
      <c r="AM81" s="325"/>
      <c r="AN81" s="324"/>
      <c r="AO81" s="86"/>
      <c r="AP81" s="86"/>
      <c r="AQ81" s="86"/>
      <c r="AR81" s="86"/>
      <c r="AS81" s="86"/>
    </row>
    <row r="82" spans="1:45" s="453" customFormat="1">
      <c r="A82" s="567" t="s">
        <v>638</v>
      </c>
      <c r="B82" s="497" t="s">
        <v>1154</v>
      </c>
      <c r="C82" s="498">
        <v>130916</v>
      </c>
      <c r="D82" s="499">
        <v>9</v>
      </c>
      <c r="E82" s="323">
        <v>2684</v>
      </c>
      <c r="F82" s="324">
        <v>2816</v>
      </c>
      <c r="G82" s="325">
        <v>6194</v>
      </c>
      <c r="H82" s="324">
        <v>6524</v>
      </c>
      <c r="I82" s="323"/>
      <c r="J82" s="324"/>
      <c r="K82" s="325"/>
      <c r="L82" s="324"/>
      <c r="M82" s="323"/>
      <c r="N82" s="324"/>
      <c r="O82" s="325"/>
      <c r="P82" s="324"/>
      <c r="Q82" s="323"/>
      <c r="R82" s="324"/>
      <c r="S82" s="325"/>
      <c r="T82" s="324"/>
      <c r="U82" s="323"/>
      <c r="V82" s="324"/>
      <c r="W82" s="325"/>
      <c r="X82" s="324"/>
      <c r="Y82" s="323"/>
      <c r="Z82" s="324"/>
      <c r="AA82" s="325"/>
      <c r="AB82" s="324"/>
      <c r="AC82" s="323"/>
      <c r="AD82" s="324"/>
      <c r="AE82" s="325"/>
      <c r="AF82" s="324"/>
      <c r="AG82" s="323"/>
      <c r="AH82" s="324"/>
      <c r="AI82" s="325"/>
      <c r="AJ82" s="324"/>
      <c r="AK82" s="323"/>
      <c r="AL82" s="324"/>
      <c r="AM82" s="325"/>
      <c r="AN82" s="324"/>
      <c r="AO82" s="86"/>
      <c r="AP82" s="86"/>
      <c r="AQ82" s="86"/>
      <c r="AR82" s="86"/>
      <c r="AS82" s="86"/>
    </row>
    <row r="83" spans="1:45" s="453" customFormat="1">
      <c r="A83" s="567" t="s">
        <v>638</v>
      </c>
      <c r="B83" s="502" t="s">
        <v>1155</v>
      </c>
      <c r="C83" s="498">
        <v>130907</v>
      </c>
      <c r="D83" s="499">
        <v>10</v>
      </c>
      <c r="E83" s="323">
        <v>2684</v>
      </c>
      <c r="F83" s="324">
        <v>2816</v>
      </c>
      <c r="G83" s="325">
        <v>6194</v>
      </c>
      <c r="H83" s="324">
        <v>6524</v>
      </c>
      <c r="I83" s="323"/>
      <c r="J83" s="324"/>
      <c r="K83" s="325"/>
      <c r="L83" s="324"/>
      <c r="M83" s="323"/>
      <c r="N83" s="324"/>
      <c r="O83" s="325"/>
      <c r="P83" s="324"/>
      <c r="Q83" s="323"/>
      <c r="R83" s="324"/>
      <c r="S83" s="325"/>
      <c r="T83" s="324"/>
      <c r="U83" s="323"/>
      <c r="V83" s="324"/>
      <c r="W83" s="325"/>
      <c r="X83" s="324"/>
      <c r="Y83" s="323"/>
      <c r="Z83" s="324"/>
      <c r="AA83" s="325"/>
      <c r="AB83" s="324"/>
      <c r="AC83" s="323"/>
      <c r="AD83" s="324"/>
      <c r="AE83" s="325"/>
      <c r="AF83" s="324"/>
      <c r="AG83" s="323"/>
      <c r="AH83" s="324"/>
      <c r="AI83" s="325"/>
      <c r="AJ83" s="324"/>
      <c r="AK83" s="323"/>
      <c r="AL83" s="324"/>
      <c r="AM83" s="325"/>
      <c r="AN83" s="324"/>
      <c r="AO83" s="86"/>
      <c r="AP83" s="86"/>
      <c r="AQ83" s="86"/>
      <c r="AR83" s="86"/>
      <c r="AS83" s="86"/>
    </row>
    <row r="84" spans="1:45">
      <c r="A84" s="199" t="s">
        <v>639</v>
      </c>
      <c r="B84" s="334" t="s">
        <v>62</v>
      </c>
      <c r="C84" s="335">
        <v>133951</v>
      </c>
      <c r="D84" s="336">
        <v>1</v>
      </c>
      <c r="E84" s="323">
        <v>3994.7430000000004</v>
      </c>
      <c r="F84" s="337">
        <v>4569.6099999999997</v>
      </c>
      <c r="G84" s="325">
        <v>16393.8</v>
      </c>
      <c r="H84" s="337">
        <v>16968.599999999999</v>
      </c>
      <c r="I84" s="323">
        <v>7476</v>
      </c>
      <c r="J84" s="324">
        <v>8590.7999999999993</v>
      </c>
      <c r="K84" s="325">
        <v>19574</v>
      </c>
      <c r="L84" s="324">
        <v>20688.72</v>
      </c>
      <c r="M84" s="323">
        <v>8690</v>
      </c>
      <c r="N84" s="324">
        <v>10391.76</v>
      </c>
      <c r="O84" s="325">
        <v>19718</v>
      </c>
      <c r="P84" s="324">
        <v>21419.52</v>
      </c>
      <c r="Q84" s="323"/>
      <c r="R84" s="324">
        <v>24981.5</v>
      </c>
      <c r="S84" s="325"/>
      <c r="T84" s="324">
        <v>56481.5</v>
      </c>
      <c r="U84" s="323"/>
      <c r="V84" s="324"/>
      <c r="W84" s="325"/>
      <c r="X84" s="324"/>
      <c r="Y84" s="323"/>
      <c r="Z84" s="324"/>
      <c r="AA84" s="325"/>
      <c r="AB84" s="324"/>
      <c r="AC84" s="323"/>
      <c r="AD84" s="324"/>
      <c r="AE84" s="325"/>
      <c r="AF84" s="324"/>
      <c r="AG84" s="323"/>
      <c r="AH84" s="324"/>
      <c r="AI84" s="325"/>
      <c r="AJ84" s="324"/>
      <c r="AK84" s="323"/>
      <c r="AL84" s="324"/>
      <c r="AM84" s="325"/>
      <c r="AN84" s="324"/>
    </row>
    <row r="85" spans="1:45">
      <c r="A85" s="199" t="s">
        <v>639</v>
      </c>
      <c r="B85" s="200" t="s">
        <v>58</v>
      </c>
      <c r="C85" s="201">
        <v>134097</v>
      </c>
      <c r="D85" s="201">
        <v>1</v>
      </c>
      <c r="E85" s="323">
        <v>3987.3430000000003</v>
      </c>
      <c r="F85" s="324">
        <v>4566.1099999999997</v>
      </c>
      <c r="G85" s="325">
        <v>18432</v>
      </c>
      <c r="H85" s="324">
        <v>19010.5</v>
      </c>
      <c r="I85" s="323">
        <v>6778</v>
      </c>
      <c r="J85" s="324">
        <v>7891.12</v>
      </c>
      <c r="K85" s="325">
        <v>21932</v>
      </c>
      <c r="L85" s="324">
        <v>23044.720000000001</v>
      </c>
      <c r="M85" s="323">
        <v>9921</v>
      </c>
      <c r="N85" s="324">
        <v>11505.76</v>
      </c>
      <c r="O85" s="325">
        <v>25931</v>
      </c>
      <c r="P85" s="324">
        <v>25114.48</v>
      </c>
      <c r="Q85" s="323">
        <v>18028</v>
      </c>
      <c r="R85" s="324">
        <v>18230.46</v>
      </c>
      <c r="S85" s="325">
        <v>52579</v>
      </c>
      <c r="T85" s="324">
        <v>52781.65</v>
      </c>
      <c r="U85" s="323"/>
      <c r="V85" s="324"/>
      <c r="W85" s="325"/>
      <c r="X85" s="324"/>
      <c r="Y85" s="323"/>
      <c r="Z85" s="324"/>
      <c r="AA85" s="325"/>
      <c r="AB85" s="324"/>
      <c r="AC85" s="323"/>
      <c r="AD85" s="324"/>
      <c r="AE85" s="325"/>
      <c r="AF85" s="324"/>
      <c r="AG85" s="323"/>
      <c r="AH85" s="324"/>
      <c r="AI85" s="325"/>
      <c r="AJ85" s="324"/>
      <c r="AK85" s="323"/>
      <c r="AL85" s="324"/>
      <c r="AM85" s="325"/>
      <c r="AN85" s="324"/>
    </row>
    <row r="86" spans="1:45">
      <c r="A86" s="199" t="s">
        <v>639</v>
      </c>
      <c r="B86" s="202" t="s">
        <v>63</v>
      </c>
      <c r="C86" s="203">
        <v>132903</v>
      </c>
      <c r="D86" s="203">
        <v>1</v>
      </c>
      <c r="E86" s="323">
        <v>3947.3430000000003</v>
      </c>
      <c r="F86" s="324">
        <v>4525.51</v>
      </c>
      <c r="G86" s="325">
        <v>19427</v>
      </c>
      <c r="H86" s="324">
        <v>20004.900000000001</v>
      </c>
      <c r="I86" s="323">
        <v>7021</v>
      </c>
      <c r="J86" s="324">
        <v>7457.52</v>
      </c>
      <c r="K86" s="325">
        <v>26046</v>
      </c>
      <c r="L86" s="324">
        <v>26482.32</v>
      </c>
      <c r="M86" s="323"/>
      <c r="N86" s="324"/>
      <c r="O86" s="325"/>
      <c r="P86" s="324"/>
      <c r="Q86" s="323"/>
      <c r="R86" s="324">
        <v>23800.400000000001</v>
      </c>
      <c r="S86" s="325"/>
      <c r="T86" s="324">
        <v>50999.99</v>
      </c>
      <c r="U86" s="323"/>
      <c r="V86" s="324"/>
      <c r="W86" s="325"/>
      <c r="X86" s="324"/>
      <c r="Y86" s="323"/>
      <c r="Z86" s="324"/>
      <c r="AA86" s="325"/>
      <c r="AB86" s="324"/>
      <c r="AC86" s="323"/>
      <c r="AD86" s="324"/>
      <c r="AE86" s="325"/>
      <c r="AF86" s="324"/>
      <c r="AG86" s="323"/>
      <c r="AH86" s="324"/>
      <c r="AI86" s="325"/>
      <c r="AJ86" s="324"/>
      <c r="AK86" s="323"/>
      <c r="AL86" s="324"/>
      <c r="AM86" s="325"/>
      <c r="AN86" s="324"/>
    </row>
    <row r="87" spans="1:45">
      <c r="A87" s="199" t="s">
        <v>639</v>
      </c>
      <c r="B87" s="200" t="s">
        <v>59</v>
      </c>
      <c r="C87" s="201">
        <v>134130</v>
      </c>
      <c r="D87" s="201">
        <v>1</v>
      </c>
      <c r="E87" s="323">
        <v>3777.3</v>
      </c>
      <c r="F87" s="324">
        <v>4372.8100000000004</v>
      </c>
      <c r="G87" s="325">
        <v>20830.8</v>
      </c>
      <c r="H87" s="324">
        <v>23744</v>
      </c>
      <c r="I87" s="323">
        <v>8191</v>
      </c>
      <c r="J87" s="324">
        <v>9582.48</v>
      </c>
      <c r="K87" s="325">
        <v>23316</v>
      </c>
      <c r="L87" s="324">
        <v>26975.759999999998</v>
      </c>
      <c r="M87" s="323">
        <v>9871</v>
      </c>
      <c r="N87" s="324">
        <v>11488.08</v>
      </c>
      <c r="O87" s="325">
        <v>25363</v>
      </c>
      <c r="P87" s="324">
        <v>26979.84</v>
      </c>
      <c r="Q87" s="323">
        <v>26439</v>
      </c>
      <c r="R87" s="324">
        <v>28784.959999999999</v>
      </c>
      <c r="S87" s="325">
        <v>55679</v>
      </c>
      <c r="T87" s="324">
        <v>58025.2</v>
      </c>
      <c r="U87" s="323">
        <v>24202</v>
      </c>
      <c r="V87" s="324">
        <v>26827.02</v>
      </c>
      <c r="W87" s="325">
        <v>50683</v>
      </c>
      <c r="X87" s="324">
        <v>53307.78</v>
      </c>
      <c r="Y87" s="323">
        <v>13095</v>
      </c>
      <c r="Z87" s="324">
        <v>15211.1</v>
      </c>
      <c r="AA87" s="325">
        <v>36239</v>
      </c>
      <c r="AB87" s="324">
        <v>38354.559999999998</v>
      </c>
      <c r="AC87" s="323"/>
      <c r="AD87" s="324"/>
      <c r="AE87" s="325"/>
      <c r="AF87" s="324"/>
      <c r="AG87" s="323"/>
      <c r="AH87" s="324"/>
      <c r="AI87" s="325"/>
      <c r="AJ87" s="324"/>
      <c r="AK87" s="323">
        <v>21041</v>
      </c>
      <c r="AL87" s="324">
        <v>23349.98</v>
      </c>
      <c r="AM87" s="325">
        <v>42016</v>
      </c>
      <c r="AN87" s="324">
        <v>42352.36</v>
      </c>
    </row>
    <row r="88" spans="1:45">
      <c r="A88" s="199" t="s">
        <v>639</v>
      </c>
      <c r="B88" s="200" t="s">
        <v>60</v>
      </c>
      <c r="C88" s="201">
        <v>137351</v>
      </c>
      <c r="D88" s="201">
        <v>1</v>
      </c>
      <c r="E88" s="323">
        <v>3990.4430000000002</v>
      </c>
      <c r="F88" s="337">
        <v>4577.01</v>
      </c>
      <c r="G88" s="325">
        <v>16707.5</v>
      </c>
      <c r="H88" s="337">
        <v>15386.3</v>
      </c>
      <c r="I88" s="323">
        <v>7072</v>
      </c>
      <c r="J88" s="324">
        <v>8143.04</v>
      </c>
      <c r="K88" s="325">
        <v>20933</v>
      </c>
      <c r="L88" s="324">
        <v>19827.919999999998</v>
      </c>
      <c r="M88" s="323"/>
      <c r="N88" s="324"/>
      <c r="O88" s="325"/>
      <c r="P88" s="324"/>
      <c r="Q88" s="323">
        <v>22422</v>
      </c>
      <c r="R88" s="324">
        <v>26832.99</v>
      </c>
      <c r="S88" s="325">
        <v>53099</v>
      </c>
      <c r="T88" s="324">
        <v>54043.88</v>
      </c>
      <c r="U88" s="323"/>
      <c r="V88" s="324"/>
      <c r="W88" s="325"/>
      <c r="X88" s="324"/>
      <c r="Y88" s="323"/>
      <c r="Z88" s="324"/>
      <c r="AA88" s="325"/>
      <c r="AB88" s="324"/>
      <c r="AC88" s="323"/>
      <c r="AD88" s="324"/>
      <c r="AE88" s="325"/>
      <c r="AF88" s="324"/>
      <c r="AG88" s="323"/>
      <c r="AH88" s="324"/>
      <c r="AI88" s="325"/>
      <c r="AJ88" s="324"/>
      <c r="AK88" s="323"/>
      <c r="AL88" s="324"/>
      <c r="AM88" s="325"/>
      <c r="AN88" s="324"/>
    </row>
    <row r="89" spans="1:45">
      <c r="A89" s="199" t="s">
        <v>639</v>
      </c>
      <c r="B89" s="200" t="s">
        <v>61</v>
      </c>
      <c r="C89" s="201">
        <v>133669</v>
      </c>
      <c r="D89" s="201">
        <v>2</v>
      </c>
      <c r="E89" s="323">
        <v>3781.7429999999999</v>
      </c>
      <c r="F89" s="337">
        <v>4311.3100000000004</v>
      </c>
      <c r="G89" s="325">
        <v>17508.599999999999</v>
      </c>
      <c r="H89" s="337">
        <v>17829.3</v>
      </c>
      <c r="I89" s="323">
        <v>6610</v>
      </c>
      <c r="J89" s="324">
        <v>7264.32</v>
      </c>
      <c r="K89" s="325">
        <v>22101</v>
      </c>
      <c r="L89" s="324">
        <v>22305.599999999999</v>
      </c>
      <c r="M89" s="323"/>
      <c r="N89" s="324"/>
      <c r="O89" s="325"/>
      <c r="P89" s="324"/>
      <c r="Q89" s="323"/>
      <c r="R89" s="324"/>
      <c r="S89" s="325"/>
      <c r="T89" s="324"/>
      <c r="U89" s="323"/>
      <c r="V89" s="324"/>
      <c r="W89" s="325"/>
      <c r="X89" s="324"/>
      <c r="Y89" s="323"/>
      <c r="Z89" s="324"/>
      <c r="AA89" s="325"/>
      <c r="AB89" s="324"/>
      <c r="AC89" s="323"/>
      <c r="AD89" s="324"/>
      <c r="AE89" s="325"/>
      <c r="AF89" s="324"/>
      <c r="AG89" s="323"/>
      <c r="AH89" s="324"/>
      <c r="AI89" s="325"/>
      <c r="AJ89" s="324"/>
      <c r="AK89" s="323"/>
      <c r="AL89" s="324"/>
      <c r="AM89" s="325"/>
      <c r="AN89" s="324"/>
    </row>
    <row r="90" spans="1:45">
      <c r="A90" s="199" t="s">
        <v>639</v>
      </c>
      <c r="B90" s="200" t="s">
        <v>64</v>
      </c>
      <c r="C90" s="201">
        <v>133650</v>
      </c>
      <c r="D90" s="201">
        <v>3</v>
      </c>
      <c r="E90" s="323">
        <v>3571.7429999999999</v>
      </c>
      <c r="F90" s="337">
        <v>4119.91</v>
      </c>
      <c r="G90" s="325">
        <v>15512.4</v>
      </c>
      <c r="H90" s="337">
        <v>16060.5</v>
      </c>
      <c r="I90" s="323">
        <v>5650</v>
      </c>
      <c r="J90" s="324">
        <v>6771.6</v>
      </c>
      <c r="K90" s="325">
        <v>20284</v>
      </c>
      <c r="L90" s="324">
        <v>21567.84</v>
      </c>
      <c r="M90" s="323">
        <v>6308</v>
      </c>
      <c r="N90" s="324">
        <v>7563.6</v>
      </c>
      <c r="O90" s="325">
        <v>21536</v>
      </c>
      <c r="P90" s="324">
        <v>22976.16</v>
      </c>
      <c r="Q90" s="323"/>
      <c r="R90" s="324"/>
      <c r="S90" s="325"/>
      <c r="T90" s="324"/>
      <c r="U90" s="323"/>
      <c r="V90" s="324"/>
      <c r="W90" s="325"/>
      <c r="X90" s="324"/>
      <c r="Y90" s="323"/>
      <c r="Z90" s="324"/>
      <c r="AA90" s="325"/>
      <c r="AB90" s="324"/>
      <c r="AC90" s="323"/>
      <c r="AD90" s="324"/>
      <c r="AE90" s="325"/>
      <c r="AF90" s="324"/>
      <c r="AG90" s="323"/>
      <c r="AH90" s="324"/>
      <c r="AI90" s="325"/>
      <c r="AJ90" s="324"/>
      <c r="AK90" s="323"/>
      <c r="AL90" s="324"/>
      <c r="AM90" s="325"/>
      <c r="AN90" s="324"/>
    </row>
    <row r="91" spans="1:45">
      <c r="A91" s="199" t="s">
        <v>639</v>
      </c>
      <c r="B91" s="200" t="s">
        <v>65</v>
      </c>
      <c r="C91" s="201">
        <v>136172</v>
      </c>
      <c r="D91" s="201">
        <v>3</v>
      </c>
      <c r="E91" s="323">
        <v>3774.8430000000003</v>
      </c>
      <c r="F91" s="337">
        <v>4193.41</v>
      </c>
      <c r="G91" s="325">
        <v>15417</v>
      </c>
      <c r="H91" s="337">
        <v>17581.8</v>
      </c>
      <c r="I91" s="323">
        <v>6735</v>
      </c>
      <c r="J91" s="324">
        <v>7633.92</v>
      </c>
      <c r="K91" s="325">
        <v>20927</v>
      </c>
      <c r="L91" s="324">
        <v>23954.639999999999</v>
      </c>
      <c r="M91" s="323"/>
      <c r="N91" s="324"/>
      <c r="O91" s="325"/>
      <c r="P91" s="324"/>
      <c r="Q91" s="323"/>
      <c r="R91" s="324"/>
      <c r="S91" s="325"/>
      <c r="T91" s="324"/>
      <c r="U91" s="323"/>
      <c r="V91" s="324"/>
      <c r="W91" s="325"/>
      <c r="X91" s="324"/>
      <c r="Y91" s="323"/>
      <c r="Z91" s="324"/>
      <c r="AA91" s="325"/>
      <c r="AB91" s="324"/>
      <c r="AC91" s="323"/>
      <c r="AD91" s="324"/>
      <c r="AE91" s="325"/>
      <c r="AF91" s="324"/>
      <c r="AG91" s="323"/>
      <c r="AH91" s="324"/>
      <c r="AI91" s="325"/>
      <c r="AJ91" s="324"/>
      <c r="AK91" s="323"/>
      <c r="AL91" s="324"/>
      <c r="AM91" s="325"/>
      <c r="AN91" s="324"/>
    </row>
    <row r="92" spans="1:45">
      <c r="A92" s="199" t="s">
        <v>639</v>
      </c>
      <c r="B92" s="200" t="s">
        <v>66</v>
      </c>
      <c r="C92" s="201">
        <v>138354</v>
      </c>
      <c r="D92" s="201">
        <v>3</v>
      </c>
      <c r="E92" s="323">
        <v>3655.143</v>
      </c>
      <c r="F92" s="337">
        <v>4210.21</v>
      </c>
      <c r="G92" s="325">
        <v>16536.599999999999</v>
      </c>
      <c r="H92" s="337">
        <v>17091.900000000001</v>
      </c>
      <c r="I92" s="323">
        <v>6088</v>
      </c>
      <c r="J92" s="324">
        <v>6335.04</v>
      </c>
      <c r="K92" s="325">
        <v>21919</v>
      </c>
      <c r="L92" s="324">
        <v>22166.639999999999</v>
      </c>
      <c r="M92" s="323"/>
      <c r="N92" s="324"/>
      <c r="O92" s="325"/>
      <c r="P92" s="324"/>
      <c r="Q92" s="323"/>
      <c r="R92" s="324"/>
      <c r="S92" s="325"/>
      <c r="T92" s="324"/>
      <c r="U92" s="323"/>
      <c r="V92" s="324"/>
      <c r="W92" s="325"/>
      <c r="X92" s="324"/>
      <c r="Y92" s="323"/>
      <c r="Z92" s="324"/>
      <c r="AA92" s="325"/>
      <c r="AB92" s="324"/>
      <c r="AC92" s="323"/>
      <c r="AD92" s="324"/>
      <c r="AE92" s="325"/>
      <c r="AF92" s="324"/>
      <c r="AG92" s="323"/>
      <c r="AH92" s="324"/>
      <c r="AI92" s="325"/>
      <c r="AJ92" s="324"/>
      <c r="AK92" s="323"/>
      <c r="AL92" s="324"/>
      <c r="AM92" s="325"/>
      <c r="AN92" s="324"/>
    </row>
    <row r="93" spans="1:45">
      <c r="A93" s="199" t="s">
        <v>639</v>
      </c>
      <c r="B93" s="202" t="s">
        <v>67</v>
      </c>
      <c r="C93" s="203">
        <v>433660</v>
      </c>
      <c r="D93" s="236">
        <v>4</v>
      </c>
      <c r="E93" s="323">
        <v>3968.6430000000005</v>
      </c>
      <c r="F93" s="337">
        <v>4426.51</v>
      </c>
      <c r="G93" s="325">
        <v>17237.400000000001</v>
      </c>
      <c r="H93" s="337">
        <v>19686</v>
      </c>
      <c r="I93" s="323">
        <v>6163</v>
      </c>
      <c r="J93" s="324">
        <v>7261.44</v>
      </c>
      <c r="K93" s="325">
        <v>22755</v>
      </c>
      <c r="L93" s="324">
        <v>26341.68</v>
      </c>
      <c r="M93" s="323"/>
      <c r="N93" s="324"/>
      <c r="O93" s="325"/>
      <c r="P93" s="324"/>
      <c r="Q93" s="323"/>
      <c r="R93" s="324"/>
      <c r="S93" s="325"/>
      <c r="T93" s="324"/>
      <c r="U93" s="323"/>
      <c r="V93" s="324"/>
      <c r="W93" s="325"/>
      <c r="X93" s="324"/>
      <c r="Y93" s="323"/>
      <c r="Z93" s="324"/>
      <c r="AA93" s="325"/>
      <c r="AB93" s="324"/>
      <c r="AC93" s="323"/>
      <c r="AD93" s="324"/>
      <c r="AE93" s="325"/>
      <c r="AF93" s="324"/>
      <c r="AG93" s="323"/>
      <c r="AH93" s="324"/>
      <c r="AI93" s="325"/>
      <c r="AJ93" s="324"/>
      <c r="AK93" s="323"/>
      <c r="AL93" s="324"/>
      <c r="AM93" s="325"/>
      <c r="AN93" s="324"/>
    </row>
    <row r="94" spans="1:45">
      <c r="A94" s="199" t="s">
        <v>639</v>
      </c>
      <c r="B94" s="204" t="s">
        <v>68</v>
      </c>
      <c r="C94" s="199">
        <v>262129</v>
      </c>
      <c r="D94" s="201">
        <v>6</v>
      </c>
      <c r="E94" s="323">
        <v>3439.4430000000002</v>
      </c>
      <c r="F94" s="337">
        <v>3986.41</v>
      </c>
      <c r="G94" s="325">
        <v>19804.8</v>
      </c>
      <c r="H94" s="337">
        <v>21988.2</v>
      </c>
      <c r="I94" s="323"/>
      <c r="J94" s="324"/>
      <c r="K94" s="325"/>
      <c r="L94" s="324"/>
      <c r="M94" s="323"/>
      <c r="N94" s="324"/>
      <c r="O94" s="325"/>
      <c r="P94" s="324"/>
      <c r="Q94" s="323"/>
      <c r="R94" s="324"/>
      <c r="S94" s="325"/>
      <c r="T94" s="324"/>
      <c r="U94" s="323"/>
      <c r="V94" s="324"/>
      <c r="W94" s="325"/>
      <c r="X94" s="324"/>
      <c r="Y94" s="323"/>
      <c r="Z94" s="324"/>
      <c r="AA94" s="325"/>
      <c r="AB94" s="324"/>
      <c r="AC94" s="323"/>
      <c r="AD94" s="324"/>
      <c r="AE94" s="325"/>
      <c r="AF94" s="324"/>
      <c r="AG94" s="323"/>
      <c r="AH94" s="324"/>
      <c r="AI94" s="325"/>
      <c r="AJ94" s="324"/>
      <c r="AK94" s="323"/>
      <c r="AL94" s="324"/>
      <c r="AM94" s="325"/>
      <c r="AN94" s="324"/>
    </row>
    <row r="95" spans="1:45">
      <c r="A95" s="194" t="s">
        <v>639</v>
      </c>
      <c r="B95" s="150" t="s">
        <v>533</v>
      </c>
      <c r="C95" s="151">
        <v>133021</v>
      </c>
      <c r="D95" s="151">
        <v>7</v>
      </c>
      <c r="E95" s="323">
        <v>2250</v>
      </c>
      <c r="F95" s="337">
        <v>2550</v>
      </c>
      <c r="G95" s="325">
        <v>6661.5</v>
      </c>
      <c r="H95" s="337">
        <v>7314.3</v>
      </c>
      <c r="I95" s="323"/>
      <c r="J95" s="324"/>
      <c r="K95" s="325"/>
      <c r="L95" s="324"/>
      <c r="M95" s="323"/>
      <c r="N95" s="324"/>
      <c r="O95" s="325"/>
      <c r="P95" s="324"/>
      <c r="Q95" s="323"/>
      <c r="R95" s="324"/>
      <c r="S95" s="325"/>
      <c r="T95" s="324"/>
      <c r="U95" s="323"/>
      <c r="V95" s="324"/>
      <c r="W95" s="325"/>
      <c r="X95" s="324"/>
      <c r="Y95" s="323"/>
      <c r="Z95" s="324"/>
      <c r="AA95" s="325"/>
      <c r="AB95" s="324"/>
      <c r="AC95" s="323"/>
      <c r="AD95" s="324"/>
      <c r="AE95" s="325"/>
      <c r="AF95" s="324"/>
      <c r="AG95" s="323"/>
      <c r="AH95" s="324"/>
      <c r="AI95" s="325"/>
      <c r="AJ95" s="324"/>
      <c r="AK95" s="323"/>
      <c r="AL95" s="324"/>
      <c r="AM95" s="325"/>
      <c r="AN95" s="324"/>
    </row>
    <row r="96" spans="1:45">
      <c r="A96" s="194" t="s">
        <v>639</v>
      </c>
      <c r="B96" s="338" t="s">
        <v>534</v>
      </c>
      <c r="C96" s="339">
        <v>133386</v>
      </c>
      <c r="D96" s="340">
        <v>7</v>
      </c>
      <c r="E96" s="323">
        <v>2347.1999999999998</v>
      </c>
      <c r="F96" s="337">
        <v>2636.4</v>
      </c>
      <c r="G96" s="325">
        <v>8829.6</v>
      </c>
      <c r="H96" s="337">
        <v>9942</v>
      </c>
      <c r="I96" s="323"/>
      <c r="J96" s="324"/>
      <c r="K96" s="325"/>
      <c r="L96" s="324"/>
      <c r="M96" s="323"/>
      <c r="N96" s="324"/>
      <c r="O96" s="325"/>
      <c r="P96" s="324"/>
      <c r="Q96" s="323"/>
      <c r="R96" s="324"/>
      <c r="S96" s="325"/>
      <c r="T96" s="324"/>
      <c r="U96" s="323"/>
      <c r="V96" s="324"/>
      <c r="W96" s="325"/>
      <c r="X96" s="324"/>
      <c r="Y96" s="323"/>
      <c r="Z96" s="324"/>
      <c r="AA96" s="325"/>
      <c r="AB96" s="324"/>
      <c r="AC96" s="323"/>
      <c r="AD96" s="324"/>
      <c r="AE96" s="325"/>
      <c r="AF96" s="324"/>
      <c r="AG96" s="323"/>
      <c r="AH96" s="324"/>
      <c r="AI96" s="325"/>
      <c r="AJ96" s="324"/>
      <c r="AK96" s="323"/>
      <c r="AL96" s="324"/>
      <c r="AM96" s="325"/>
      <c r="AN96" s="324"/>
    </row>
    <row r="97" spans="1:40">
      <c r="A97" s="194" t="s">
        <v>639</v>
      </c>
      <c r="B97" s="150" t="s">
        <v>542</v>
      </c>
      <c r="C97" s="151">
        <v>135717</v>
      </c>
      <c r="D97" s="151">
        <v>7</v>
      </c>
      <c r="E97" s="323">
        <v>2347.1999999999998</v>
      </c>
      <c r="F97" s="337">
        <v>2585.6999999999998</v>
      </c>
      <c r="G97" s="325">
        <v>8468.1</v>
      </c>
      <c r="H97" s="337">
        <v>9377.4</v>
      </c>
      <c r="I97" s="323"/>
      <c r="J97" s="324"/>
      <c r="K97" s="325"/>
      <c r="L97" s="324"/>
      <c r="M97" s="323"/>
      <c r="N97" s="324"/>
      <c r="O97" s="325"/>
      <c r="P97" s="324"/>
      <c r="Q97" s="323"/>
      <c r="R97" s="324"/>
      <c r="S97" s="325"/>
      <c r="T97" s="324"/>
      <c r="U97" s="323"/>
      <c r="V97" s="324"/>
      <c r="W97" s="325"/>
      <c r="X97" s="324"/>
      <c r="Y97" s="323"/>
      <c r="Z97" s="324"/>
      <c r="AA97" s="325"/>
      <c r="AB97" s="324"/>
      <c r="AC97" s="323"/>
      <c r="AD97" s="324"/>
      <c r="AE97" s="325"/>
      <c r="AF97" s="324"/>
      <c r="AG97" s="323"/>
      <c r="AH97" s="324"/>
      <c r="AI97" s="325"/>
      <c r="AJ97" s="324"/>
      <c r="AK97" s="323"/>
      <c r="AL97" s="324"/>
      <c r="AM97" s="325"/>
      <c r="AN97" s="324"/>
    </row>
    <row r="98" spans="1:40">
      <c r="A98" s="194" t="s">
        <v>639</v>
      </c>
      <c r="B98" s="229" t="s">
        <v>19</v>
      </c>
      <c r="C98" s="152">
        <v>136233</v>
      </c>
      <c r="D98" s="341">
        <v>7</v>
      </c>
      <c r="E98" s="323">
        <v>2003.4</v>
      </c>
      <c r="F98" s="337">
        <v>2271.9</v>
      </c>
      <c r="G98" s="325">
        <v>8013.9</v>
      </c>
      <c r="H98" s="337">
        <v>9197.7000000000007</v>
      </c>
      <c r="I98" s="323"/>
      <c r="J98" s="324"/>
      <c r="K98" s="325"/>
      <c r="L98" s="324"/>
      <c r="M98" s="323"/>
      <c r="N98" s="324"/>
      <c r="O98" s="325"/>
      <c r="P98" s="324"/>
      <c r="Q98" s="323"/>
      <c r="R98" s="324"/>
      <c r="S98" s="325"/>
      <c r="T98" s="324"/>
      <c r="U98" s="323"/>
      <c r="V98" s="324"/>
      <c r="W98" s="325"/>
      <c r="X98" s="324"/>
      <c r="Y98" s="323"/>
      <c r="Z98" s="324"/>
      <c r="AA98" s="325"/>
      <c r="AB98" s="324"/>
      <c r="AC98" s="323"/>
      <c r="AD98" s="324"/>
      <c r="AE98" s="325"/>
      <c r="AF98" s="324"/>
      <c r="AG98" s="323"/>
      <c r="AH98" s="324"/>
      <c r="AI98" s="325"/>
      <c r="AJ98" s="324"/>
      <c r="AK98" s="323"/>
      <c r="AL98" s="324"/>
      <c r="AM98" s="325"/>
      <c r="AN98" s="324"/>
    </row>
    <row r="99" spans="1:40">
      <c r="A99" s="194" t="s">
        <v>639</v>
      </c>
      <c r="B99" s="150" t="s">
        <v>348</v>
      </c>
      <c r="C99" s="151">
        <v>137078</v>
      </c>
      <c r="D99" s="151">
        <v>7</v>
      </c>
      <c r="E99" s="323">
        <v>2326.1999999999998</v>
      </c>
      <c r="F99" s="337">
        <v>2613.6</v>
      </c>
      <c r="G99" s="325">
        <v>8411.7000000000007</v>
      </c>
      <c r="H99" s="337">
        <v>9490.5</v>
      </c>
      <c r="I99" s="323"/>
      <c r="J99" s="324"/>
      <c r="K99" s="325"/>
      <c r="L99" s="324"/>
      <c r="M99" s="323"/>
      <c r="N99" s="324"/>
      <c r="O99" s="325"/>
      <c r="P99" s="324"/>
      <c r="Q99" s="323"/>
      <c r="R99" s="324"/>
      <c r="S99" s="325"/>
      <c r="T99" s="324"/>
      <c r="U99" s="323"/>
      <c r="V99" s="324"/>
      <c r="W99" s="325"/>
      <c r="X99" s="324"/>
      <c r="Y99" s="323"/>
      <c r="Z99" s="324"/>
      <c r="AA99" s="325"/>
      <c r="AB99" s="324"/>
      <c r="AC99" s="323"/>
      <c r="AD99" s="324"/>
      <c r="AE99" s="325"/>
      <c r="AF99" s="324"/>
      <c r="AG99" s="323"/>
      <c r="AH99" s="324"/>
      <c r="AI99" s="325"/>
      <c r="AJ99" s="324"/>
      <c r="AK99" s="323"/>
      <c r="AL99" s="324"/>
      <c r="AM99" s="325"/>
      <c r="AN99" s="324"/>
    </row>
    <row r="100" spans="1:40">
      <c r="A100" s="194" t="s">
        <v>639</v>
      </c>
      <c r="B100" s="150" t="s">
        <v>530</v>
      </c>
      <c r="C100" s="151">
        <v>132693</v>
      </c>
      <c r="D100" s="151">
        <v>8</v>
      </c>
      <c r="E100" s="323">
        <v>2280</v>
      </c>
      <c r="F100" s="337">
        <v>2625</v>
      </c>
      <c r="G100" s="325">
        <v>8490</v>
      </c>
      <c r="H100" s="337">
        <v>9615</v>
      </c>
      <c r="I100" s="323"/>
      <c r="J100" s="324"/>
      <c r="K100" s="325"/>
      <c r="L100" s="324"/>
      <c r="M100" s="323"/>
      <c r="N100" s="324"/>
      <c r="O100" s="325"/>
      <c r="P100" s="324"/>
      <c r="Q100" s="323"/>
      <c r="R100" s="324"/>
      <c r="S100" s="325"/>
      <c r="T100" s="324"/>
      <c r="U100" s="323"/>
      <c r="V100" s="324"/>
      <c r="W100" s="325"/>
      <c r="X100" s="324"/>
      <c r="Y100" s="323"/>
      <c r="Z100" s="324"/>
      <c r="AA100" s="325"/>
      <c r="AB100" s="324"/>
      <c r="AC100" s="323"/>
      <c r="AD100" s="324"/>
      <c r="AE100" s="325"/>
      <c r="AF100" s="324"/>
      <c r="AG100" s="323"/>
      <c r="AH100" s="324"/>
      <c r="AI100" s="325"/>
      <c r="AJ100" s="324"/>
      <c r="AK100" s="323"/>
      <c r="AL100" s="324"/>
      <c r="AM100" s="325"/>
      <c r="AN100" s="324"/>
    </row>
    <row r="101" spans="1:40">
      <c r="A101" s="194" t="s">
        <v>639</v>
      </c>
      <c r="B101" s="150" t="s">
        <v>531</v>
      </c>
      <c r="C101" s="151">
        <v>132709</v>
      </c>
      <c r="D101" s="151">
        <v>8</v>
      </c>
      <c r="E101" s="323">
        <v>2245.1999999999998</v>
      </c>
      <c r="F101" s="337">
        <v>2518.5</v>
      </c>
      <c r="G101" s="325">
        <v>8017.8</v>
      </c>
      <c r="H101" s="337">
        <v>9081</v>
      </c>
      <c r="I101" s="323"/>
      <c r="J101" s="324"/>
      <c r="K101" s="325"/>
      <c r="L101" s="324"/>
      <c r="M101" s="323"/>
      <c r="N101" s="324"/>
      <c r="O101" s="325"/>
      <c r="P101" s="324"/>
      <c r="Q101" s="323"/>
      <c r="R101" s="324"/>
      <c r="S101" s="325"/>
      <c r="T101" s="324"/>
      <c r="U101" s="323"/>
      <c r="V101" s="324"/>
      <c r="W101" s="325"/>
      <c r="X101" s="324"/>
      <c r="Y101" s="323"/>
      <c r="Z101" s="324"/>
      <c r="AA101" s="325"/>
      <c r="AB101" s="324"/>
      <c r="AC101" s="323"/>
      <c r="AD101" s="324"/>
      <c r="AE101" s="325"/>
      <c r="AF101" s="324"/>
      <c r="AG101" s="323"/>
      <c r="AH101" s="324"/>
      <c r="AI101" s="325"/>
      <c r="AJ101" s="324"/>
      <c r="AK101" s="323"/>
      <c r="AL101" s="324"/>
      <c r="AM101" s="325"/>
      <c r="AN101" s="324"/>
    </row>
    <row r="102" spans="1:40">
      <c r="A102" s="194" t="s">
        <v>639</v>
      </c>
      <c r="B102" s="229" t="s">
        <v>18</v>
      </c>
      <c r="C102" s="151">
        <v>133508</v>
      </c>
      <c r="D102" s="151">
        <v>8</v>
      </c>
      <c r="E102" s="323">
        <v>2347.1999999999998</v>
      </c>
      <c r="F102" s="337">
        <v>2636.4</v>
      </c>
      <c r="G102" s="325">
        <v>8829.6</v>
      </c>
      <c r="H102" s="337">
        <v>9942</v>
      </c>
      <c r="I102" s="323"/>
      <c r="J102" s="324"/>
      <c r="K102" s="325"/>
      <c r="L102" s="324"/>
      <c r="M102" s="323"/>
      <c r="N102" s="324"/>
      <c r="O102" s="325"/>
      <c r="P102" s="324"/>
      <c r="Q102" s="323"/>
      <c r="R102" s="324"/>
      <c r="S102" s="325"/>
      <c r="T102" s="324"/>
      <c r="U102" s="323"/>
      <c r="V102" s="324"/>
      <c r="W102" s="325"/>
      <c r="X102" s="324"/>
      <c r="Y102" s="323"/>
      <c r="Z102" s="324"/>
      <c r="AA102" s="325"/>
      <c r="AB102" s="324"/>
      <c r="AC102" s="323"/>
      <c r="AD102" s="324"/>
      <c r="AE102" s="325"/>
      <c r="AF102" s="324"/>
      <c r="AG102" s="323"/>
      <c r="AH102" s="324"/>
      <c r="AI102" s="325"/>
      <c r="AJ102" s="324"/>
      <c r="AK102" s="323"/>
      <c r="AL102" s="324"/>
      <c r="AM102" s="325"/>
      <c r="AN102" s="324"/>
    </row>
    <row r="103" spans="1:40">
      <c r="A103" s="194" t="s">
        <v>639</v>
      </c>
      <c r="B103" s="150" t="s">
        <v>535</v>
      </c>
      <c r="C103" s="151">
        <v>133702</v>
      </c>
      <c r="D103" s="151">
        <v>8</v>
      </c>
      <c r="E103" s="323">
        <v>2182.5</v>
      </c>
      <c r="F103" s="337">
        <v>2511.3000000000002</v>
      </c>
      <c r="G103" s="325">
        <v>8418</v>
      </c>
      <c r="H103" s="337">
        <v>9703.2000000000007</v>
      </c>
      <c r="I103" s="323"/>
      <c r="J103" s="324"/>
      <c r="K103" s="325"/>
      <c r="L103" s="324"/>
      <c r="M103" s="323"/>
      <c r="N103" s="324"/>
      <c r="O103" s="325"/>
      <c r="P103" s="324"/>
      <c r="Q103" s="323"/>
      <c r="R103" s="324"/>
      <c r="S103" s="325"/>
      <c r="T103" s="324"/>
      <c r="U103" s="323"/>
      <c r="V103" s="324"/>
      <c r="W103" s="325"/>
      <c r="X103" s="324"/>
      <c r="Y103" s="323"/>
      <c r="Z103" s="324"/>
      <c r="AA103" s="325"/>
      <c r="AB103" s="324"/>
      <c r="AC103" s="323"/>
      <c r="AD103" s="324"/>
      <c r="AE103" s="325"/>
      <c r="AF103" s="324"/>
      <c r="AG103" s="323"/>
      <c r="AH103" s="324"/>
      <c r="AI103" s="325"/>
      <c r="AJ103" s="324"/>
      <c r="AK103" s="323"/>
      <c r="AL103" s="324"/>
      <c r="AM103" s="325"/>
      <c r="AN103" s="324"/>
    </row>
    <row r="104" spans="1:40">
      <c r="A104" s="194" t="s">
        <v>639</v>
      </c>
      <c r="B104" s="150" t="s">
        <v>538</v>
      </c>
      <c r="C104" s="151">
        <v>134495</v>
      </c>
      <c r="D104" s="151">
        <v>8</v>
      </c>
      <c r="E104" s="323">
        <v>2347.1999999999998</v>
      </c>
      <c r="F104" s="337">
        <v>2621.4</v>
      </c>
      <c r="G104" s="325">
        <v>8438.1</v>
      </c>
      <c r="H104" s="337">
        <v>9550.5</v>
      </c>
      <c r="I104" s="323"/>
      <c r="J104" s="324"/>
      <c r="K104" s="325"/>
      <c r="L104" s="324"/>
      <c r="M104" s="323"/>
      <c r="N104" s="324"/>
      <c r="O104" s="325"/>
      <c r="P104" s="324"/>
      <c r="Q104" s="323"/>
      <c r="R104" s="324"/>
      <c r="S104" s="325"/>
      <c r="T104" s="324"/>
      <c r="U104" s="323"/>
      <c r="V104" s="324"/>
      <c r="W104" s="325"/>
      <c r="X104" s="324"/>
      <c r="Y104" s="323"/>
      <c r="Z104" s="324"/>
      <c r="AA104" s="325"/>
      <c r="AB104" s="324"/>
      <c r="AC104" s="323"/>
      <c r="AD104" s="324"/>
      <c r="AE104" s="325"/>
      <c r="AF104" s="324"/>
      <c r="AG104" s="323"/>
      <c r="AH104" s="324"/>
      <c r="AI104" s="325"/>
      <c r="AJ104" s="324"/>
      <c r="AK104" s="323"/>
      <c r="AL104" s="324"/>
      <c r="AM104" s="325"/>
      <c r="AN104" s="324"/>
    </row>
    <row r="105" spans="1:40">
      <c r="A105" s="194" t="s">
        <v>639</v>
      </c>
      <c r="B105" s="153" t="s">
        <v>539</v>
      </c>
      <c r="C105" s="151">
        <v>134608</v>
      </c>
      <c r="D105" s="151">
        <v>8</v>
      </c>
      <c r="E105" s="323">
        <v>2242.1999999999998</v>
      </c>
      <c r="F105" s="337">
        <v>2542.8000000000002</v>
      </c>
      <c r="G105" s="325">
        <v>8331.6</v>
      </c>
      <c r="H105" s="337">
        <v>9471</v>
      </c>
      <c r="I105" s="323"/>
      <c r="J105" s="324"/>
      <c r="K105" s="325"/>
      <c r="L105" s="324"/>
      <c r="M105" s="323"/>
      <c r="N105" s="324"/>
      <c r="O105" s="325"/>
      <c r="P105" s="324"/>
      <c r="Q105" s="323"/>
      <c r="R105" s="324"/>
      <c r="S105" s="325"/>
      <c r="T105" s="324"/>
      <c r="U105" s="323"/>
      <c r="V105" s="324"/>
      <c r="W105" s="325"/>
      <c r="X105" s="324"/>
      <c r="Y105" s="323"/>
      <c r="Z105" s="324"/>
      <c r="AA105" s="325"/>
      <c r="AB105" s="324"/>
      <c r="AC105" s="323"/>
      <c r="AD105" s="324"/>
      <c r="AE105" s="325"/>
      <c r="AF105" s="324"/>
      <c r="AG105" s="323"/>
      <c r="AH105" s="324"/>
      <c r="AI105" s="325"/>
      <c r="AJ105" s="324"/>
      <c r="AK105" s="323"/>
      <c r="AL105" s="324"/>
      <c r="AM105" s="325"/>
      <c r="AN105" s="324"/>
    </row>
    <row r="106" spans="1:40">
      <c r="A106" s="194" t="s">
        <v>639</v>
      </c>
      <c r="B106" s="153" t="s">
        <v>544</v>
      </c>
      <c r="C106" s="154">
        <v>136358</v>
      </c>
      <c r="D106" s="154">
        <v>8</v>
      </c>
      <c r="E106" s="323">
        <v>2250</v>
      </c>
      <c r="F106" s="337">
        <v>2475</v>
      </c>
      <c r="G106" s="325">
        <v>8100</v>
      </c>
      <c r="H106" s="337">
        <v>8980.7999999999993</v>
      </c>
      <c r="I106" s="323"/>
      <c r="J106" s="324"/>
      <c r="K106" s="325"/>
      <c r="L106" s="324"/>
      <c r="M106" s="323"/>
      <c r="N106" s="324"/>
      <c r="O106" s="325"/>
      <c r="P106" s="324"/>
      <c r="Q106" s="323"/>
      <c r="R106" s="324"/>
      <c r="S106" s="325"/>
      <c r="T106" s="324"/>
      <c r="U106" s="323"/>
      <c r="V106" s="324"/>
      <c r="W106" s="325"/>
      <c r="X106" s="324"/>
      <c r="Y106" s="323"/>
      <c r="Z106" s="324"/>
      <c r="AA106" s="325"/>
      <c r="AB106" s="324"/>
      <c r="AC106" s="323"/>
      <c r="AD106" s="324"/>
      <c r="AE106" s="325"/>
      <c r="AF106" s="324"/>
      <c r="AG106" s="323"/>
      <c r="AH106" s="324"/>
      <c r="AI106" s="325"/>
      <c r="AJ106" s="324"/>
      <c r="AK106" s="323"/>
      <c r="AL106" s="324"/>
      <c r="AM106" s="325"/>
      <c r="AN106" s="324"/>
    </row>
    <row r="107" spans="1:40">
      <c r="A107" s="194" t="s">
        <v>639</v>
      </c>
      <c r="B107" s="229" t="s">
        <v>545</v>
      </c>
      <c r="C107" s="151">
        <v>136400</v>
      </c>
      <c r="D107" s="341">
        <v>8</v>
      </c>
      <c r="E107" s="323">
        <v>2224.8000000000002</v>
      </c>
      <c r="F107" s="337">
        <v>2438.4</v>
      </c>
      <c r="G107" s="325">
        <v>8397</v>
      </c>
      <c r="H107" s="337">
        <v>9272.4</v>
      </c>
      <c r="I107" s="323"/>
      <c r="J107" s="324"/>
      <c r="K107" s="325"/>
      <c r="L107" s="324"/>
      <c r="M107" s="323"/>
      <c r="N107" s="324"/>
      <c r="O107" s="325"/>
      <c r="P107" s="324"/>
      <c r="Q107" s="323"/>
      <c r="R107" s="324"/>
      <c r="S107" s="325"/>
      <c r="T107" s="324"/>
      <c r="U107" s="323"/>
      <c r="V107" s="324"/>
      <c r="W107" s="325"/>
      <c r="X107" s="324"/>
      <c r="Y107" s="323"/>
      <c r="Z107" s="324"/>
      <c r="AA107" s="325"/>
      <c r="AB107" s="324"/>
      <c r="AC107" s="323"/>
      <c r="AD107" s="324"/>
      <c r="AE107" s="325"/>
      <c r="AF107" s="324"/>
      <c r="AG107" s="323"/>
      <c r="AH107" s="324"/>
      <c r="AI107" s="325"/>
      <c r="AJ107" s="324"/>
      <c r="AK107" s="323"/>
      <c r="AL107" s="324"/>
      <c r="AM107" s="325"/>
      <c r="AN107" s="324"/>
    </row>
    <row r="108" spans="1:40">
      <c r="A108" s="194" t="s">
        <v>639</v>
      </c>
      <c r="B108" s="150" t="s">
        <v>345</v>
      </c>
      <c r="C108" s="151">
        <v>136473</v>
      </c>
      <c r="D108" s="151">
        <v>8</v>
      </c>
      <c r="E108" s="323">
        <v>2245.1999999999998</v>
      </c>
      <c r="F108" s="337">
        <v>2521.8000000000002</v>
      </c>
      <c r="G108" s="325">
        <v>8445.9</v>
      </c>
      <c r="H108" s="337">
        <v>9510</v>
      </c>
      <c r="I108" s="323"/>
      <c r="J108" s="324"/>
      <c r="K108" s="325"/>
      <c r="L108" s="324"/>
      <c r="M108" s="323"/>
      <c r="N108" s="324"/>
      <c r="O108" s="325"/>
      <c r="P108" s="324"/>
      <c r="Q108" s="323"/>
      <c r="R108" s="324"/>
      <c r="S108" s="325"/>
      <c r="T108" s="324"/>
      <c r="U108" s="323"/>
      <c r="V108" s="324"/>
      <c r="W108" s="325"/>
      <c r="X108" s="324"/>
      <c r="Y108" s="323"/>
      <c r="Z108" s="324"/>
      <c r="AA108" s="325"/>
      <c r="AB108" s="324"/>
      <c r="AC108" s="323"/>
      <c r="AD108" s="324"/>
      <c r="AE108" s="325"/>
      <c r="AF108" s="324"/>
      <c r="AG108" s="323"/>
      <c r="AH108" s="324"/>
      <c r="AI108" s="325"/>
      <c r="AJ108" s="324"/>
      <c r="AK108" s="323"/>
      <c r="AL108" s="324"/>
      <c r="AM108" s="325"/>
      <c r="AN108" s="324"/>
    </row>
    <row r="109" spans="1:40">
      <c r="A109" s="194" t="s">
        <v>639</v>
      </c>
      <c r="B109" s="338" t="s">
        <v>346</v>
      </c>
      <c r="C109" s="339">
        <v>136516</v>
      </c>
      <c r="D109" s="340">
        <v>8</v>
      </c>
      <c r="E109" s="323">
        <v>2235</v>
      </c>
      <c r="F109" s="337">
        <v>2585.4</v>
      </c>
      <c r="G109" s="325">
        <v>8236.7999999999993</v>
      </c>
      <c r="H109" s="337">
        <v>9596.4</v>
      </c>
      <c r="I109" s="323"/>
      <c r="J109" s="324"/>
      <c r="K109" s="325"/>
      <c r="L109" s="324"/>
      <c r="M109" s="323"/>
      <c r="N109" s="324"/>
      <c r="O109" s="325"/>
      <c r="P109" s="324"/>
      <c r="Q109" s="323"/>
      <c r="R109" s="324"/>
      <c r="S109" s="325"/>
      <c r="T109" s="324"/>
      <c r="U109" s="323"/>
      <c r="V109" s="324"/>
      <c r="W109" s="325"/>
      <c r="X109" s="324"/>
      <c r="Y109" s="323"/>
      <c r="Z109" s="324"/>
      <c r="AA109" s="325"/>
      <c r="AB109" s="324"/>
      <c r="AC109" s="323"/>
      <c r="AD109" s="324"/>
      <c r="AE109" s="325"/>
      <c r="AF109" s="324"/>
      <c r="AG109" s="323"/>
      <c r="AH109" s="324"/>
      <c r="AI109" s="325"/>
      <c r="AJ109" s="324"/>
      <c r="AK109" s="323"/>
      <c r="AL109" s="324"/>
      <c r="AM109" s="325"/>
      <c r="AN109" s="324"/>
    </row>
    <row r="110" spans="1:40">
      <c r="A110" s="194" t="s">
        <v>639</v>
      </c>
      <c r="B110" s="150" t="s">
        <v>349</v>
      </c>
      <c r="C110" s="151">
        <v>137096</v>
      </c>
      <c r="D110" s="151">
        <v>8</v>
      </c>
      <c r="E110" s="323">
        <v>2244</v>
      </c>
      <c r="F110" s="337">
        <v>2508</v>
      </c>
      <c r="G110" s="325">
        <v>8431.5</v>
      </c>
      <c r="H110" s="337">
        <v>9495</v>
      </c>
      <c r="I110" s="323"/>
      <c r="J110" s="324"/>
      <c r="K110" s="325"/>
      <c r="L110" s="324"/>
      <c r="M110" s="323"/>
      <c r="N110" s="324"/>
      <c r="O110" s="325"/>
      <c r="P110" s="324"/>
      <c r="Q110" s="323"/>
      <c r="R110" s="324"/>
      <c r="S110" s="325"/>
      <c r="T110" s="324"/>
      <c r="U110" s="323"/>
      <c r="V110" s="324"/>
      <c r="W110" s="325"/>
      <c r="X110" s="324"/>
      <c r="Y110" s="323"/>
      <c r="Z110" s="324"/>
      <c r="AA110" s="325"/>
      <c r="AB110" s="324"/>
      <c r="AC110" s="323"/>
      <c r="AD110" s="324"/>
      <c r="AE110" s="325"/>
      <c r="AF110" s="324"/>
      <c r="AG110" s="323"/>
      <c r="AH110" s="324"/>
      <c r="AI110" s="325"/>
      <c r="AJ110" s="324"/>
      <c r="AK110" s="323"/>
      <c r="AL110" s="324"/>
      <c r="AM110" s="325"/>
      <c r="AN110" s="324"/>
    </row>
    <row r="111" spans="1:40">
      <c r="A111" s="194" t="s">
        <v>639</v>
      </c>
      <c r="B111" s="150" t="s">
        <v>350</v>
      </c>
      <c r="C111" s="151">
        <v>137209</v>
      </c>
      <c r="D111" s="151">
        <v>8</v>
      </c>
      <c r="E111" s="323">
        <v>2336.6999999999998</v>
      </c>
      <c r="F111" s="337">
        <v>2636.4</v>
      </c>
      <c r="G111" s="325">
        <v>8500.2000000000007</v>
      </c>
      <c r="H111" s="337">
        <v>9700.5</v>
      </c>
      <c r="I111" s="323"/>
      <c r="J111" s="324"/>
      <c r="K111" s="325"/>
      <c r="L111" s="324"/>
      <c r="M111" s="323"/>
      <c r="N111" s="324"/>
      <c r="O111" s="325"/>
      <c r="P111" s="324"/>
      <c r="Q111" s="323"/>
      <c r="R111" s="324"/>
      <c r="S111" s="325"/>
      <c r="T111" s="324"/>
      <c r="U111" s="323"/>
      <c r="V111" s="324"/>
      <c r="W111" s="325"/>
      <c r="X111" s="324"/>
      <c r="Y111" s="323"/>
      <c r="Z111" s="324"/>
      <c r="AA111" s="325"/>
      <c r="AB111" s="324"/>
      <c r="AC111" s="323"/>
      <c r="AD111" s="324"/>
      <c r="AE111" s="325"/>
      <c r="AF111" s="324"/>
      <c r="AG111" s="323"/>
      <c r="AH111" s="324"/>
      <c r="AI111" s="325"/>
      <c r="AJ111" s="324"/>
      <c r="AK111" s="323"/>
      <c r="AL111" s="324"/>
      <c r="AM111" s="325"/>
      <c r="AN111" s="324"/>
    </row>
    <row r="112" spans="1:40">
      <c r="A112" s="194" t="s">
        <v>639</v>
      </c>
      <c r="B112" s="153" t="s">
        <v>1047</v>
      </c>
      <c r="C112" s="151">
        <v>135391</v>
      </c>
      <c r="D112" s="151">
        <v>8</v>
      </c>
      <c r="E112" s="323">
        <v>2347.1999999999998</v>
      </c>
      <c r="F112" s="337">
        <v>2636.4</v>
      </c>
      <c r="G112" s="325">
        <v>8829.6</v>
      </c>
      <c r="H112" s="337">
        <v>9942</v>
      </c>
      <c r="I112" s="323"/>
      <c r="J112" s="324"/>
      <c r="K112" s="325"/>
      <c r="L112" s="324"/>
      <c r="M112" s="323"/>
      <c r="N112" s="324"/>
      <c r="O112" s="325"/>
      <c r="P112" s="324"/>
      <c r="Q112" s="323"/>
      <c r="R112" s="324"/>
      <c r="S112" s="325"/>
      <c r="T112" s="324"/>
      <c r="U112" s="323"/>
      <c r="V112" s="324"/>
      <c r="W112" s="325"/>
      <c r="X112" s="324"/>
      <c r="Y112" s="323"/>
      <c r="Z112" s="324"/>
      <c r="AA112" s="325"/>
      <c r="AB112" s="324"/>
      <c r="AC112" s="323"/>
      <c r="AD112" s="324"/>
      <c r="AE112" s="325"/>
      <c r="AF112" s="324"/>
      <c r="AG112" s="323"/>
      <c r="AH112" s="324"/>
      <c r="AI112" s="325"/>
      <c r="AJ112" s="324"/>
      <c r="AK112" s="323"/>
      <c r="AL112" s="324"/>
      <c r="AM112" s="325"/>
      <c r="AN112" s="324"/>
    </row>
    <row r="113" spans="1:45">
      <c r="A113" s="194" t="s">
        <v>639</v>
      </c>
      <c r="B113" s="150" t="s">
        <v>352</v>
      </c>
      <c r="C113" s="151">
        <v>137759</v>
      </c>
      <c r="D113" s="151">
        <v>8</v>
      </c>
      <c r="E113" s="323">
        <v>2085</v>
      </c>
      <c r="F113" s="337">
        <v>2220</v>
      </c>
      <c r="G113" s="325">
        <v>7522.5</v>
      </c>
      <c r="H113" s="337">
        <v>7836</v>
      </c>
      <c r="I113" s="323"/>
      <c r="J113" s="324"/>
      <c r="K113" s="325"/>
      <c r="L113" s="324"/>
      <c r="M113" s="323"/>
      <c r="N113" s="324"/>
      <c r="O113" s="325"/>
      <c r="P113" s="324"/>
      <c r="Q113" s="323"/>
      <c r="R113" s="324"/>
      <c r="S113" s="325"/>
      <c r="T113" s="324"/>
      <c r="U113" s="323"/>
      <c r="V113" s="324"/>
      <c r="W113" s="325"/>
      <c r="X113" s="324"/>
      <c r="Y113" s="323"/>
      <c r="Z113" s="324"/>
      <c r="AA113" s="325"/>
      <c r="AB113" s="324"/>
      <c r="AC113" s="323"/>
      <c r="AD113" s="324"/>
      <c r="AE113" s="325"/>
      <c r="AF113" s="324"/>
      <c r="AG113" s="323"/>
      <c r="AH113" s="324"/>
      <c r="AI113" s="325"/>
      <c r="AJ113" s="324"/>
      <c r="AK113" s="323"/>
      <c r="AL113" s="324"/>
      <c r="AM113" s="325"/>
      <c r="AN113" s="324"/>
    </row>
    <row r="114" spans="1:45">
      <c r="A114" s="194" t="s">
        <v>639</v>
      </c>
      <c r="B114" s="150" t="s">
        <v>353</v>
      </c>
      <c r="C114" s="151">
        <v>138187</v>
      </c>
      <c r="D114" s="151">
        <v>8</v>
      </c>
      <c r="E114" s="323">
        <v>2334.9</v>
      </c>
      <c r="F114" s="337">
        <v>2620.8000000000002</v>
      </c>
      <c r="G114" s="325">
        <v>8782.2000000000007</v>
      </c>
      <c r="H114" s="337">
        <v>9926.4</v>
      </c>
      <c r="I114" s="323"/>
      <c r="J114" s="324"/>
      <c r="K114" s="325"/>
      <c r="L114" s="324"/>
      <c r="M114" s="323"/>
      <c r="N114" s="324"/>
      <c r="O114" s="325"/>
      <c r="P114" s="324"/>
      <c r="Q114" s="323"/>
      <c r="R114" s="324"/>
      <c r="S114" s="325"/>
      <c r="T114" s="324"/>
      <c r="U114" s="323"/>
      <c r="V114" s="324"/>
      <c r="W114" s="325"/>
      <c r="X114" s="324"/>
      <c r="Y114" s="323"/>
      <c r="Z114" s="324"/>
      <c r="AA114" s="325"/>
      <c r="AB114" s="324"/>
      <c r="AC114" s="323"/>
      <c r="AD114" s="324"/>
      <c r="AE114" s="325"/>
      <c r="AF114" s="324"/>
      <c r="AG114" s="323"/>
      <c r="AH114" s="324"/>
      <c r="AI114" s="325"/>
      <c r="AJ114" s="324"/>
      <c r="AK114" s="323"/>
      <c r="AL114" s="324"/>
      <c r="AM114" s="325"/>
      <c r="AN114" s="324"/>
    </row>
    <row r="115" spans="1:45">
      <c r="A115" s="194" t="s">
        <v>639</v>
      </c>
      <c r="B115" s="229" t="s">
        <v>532</v>
      </c>
      <c r="C115" s="151">
        <v>132851</v>
      </c>
      <c r="D115" s="151">
        <v>9</v>
      </c>
      <c r="E115" s="323">
        <v>2314.8000000000002</v>
      </c>
      <c r="F115" s="337">
        <v>2600.6999999999998</v>
      </c>
      <c r="G115" s="325">
        <v>8433</v>
      </c>
      <c r="H115" s="337">
        <v>9728.1</v>
      </c>
      <c r="I115" s="323"/>
      <c r="J115" s="324"/>
      <c r="K115" s="325"/>
      <c r="L115" s="324"/>
      <c r="M115" s="323"/>
      <c r="N115" s="324"/>
      <c r="O115" s="325"/>
      <c r="P115" s="324"/>
      <c r="Q115" s="323"/>
      <c r="R115" s="324"/>
      <c r="S115" s="325"/>
      <c r="T115" s="324"/>
      <c r="U115" s="323"/>
      <c r="V115" s="324"/>
      <c r="W115" s="325"/>
      <c r="X115" s="324"/>
      <c r="Y115" s="323"/>
      <c r="Z115" s="324"/>
      <c r="AA115" s="325"/>
      <c r="AB115" s="324"/>
      <c r="AC115" s="323"/>
      <c r="AD115" s="324"/>
      <c r="AE115" s="325"/>
      <c r="AF115" s="324"/>
      <c r="AG115" s="323"/>
      <c r="AH115" s="324"/>
      <c r="AI115" s="325"/>
      <c r="AJ115" s="324"/>
      <c r="AK115" s="323"/>
      <c r="AL115" s="324"/>
      <c r="AM115" s="325"/>
      <c r="AN115" s="324"/>
    </row>
    <row r="116" spans="1:45">
      <c r="A116" s="194" t="s">
        <v>639</v>
      </c>
      <c r="B116" s="229" t="s">
        <v>537</v>
      </c>
      <c r="C116" s="151">
        <v>134343</v>
      </c>
      <c r="D116" s="151">
        <v>9</v>
      </c>
      <c r="E116" s="323">
        <v>2219.4</v>
      </c>
      <c r="F116" s="337">
        <v>2438.4</v>
      </c>
      <c r="G116" s="325">
        <v>7948.5</v>
      </c>
      <c r="H116" s="337">
        <v>9150.2999999999993</v>
      </c>
      <c r="I116" s="323"/>
      <c r="J116" s="324"/>
      <c r="K116" s="325"/>
      <c r="L116" s="324"/>
      <c r="M116" s="323"/>
      <c r="N116" s="324"/>
      <c r="O116" s="325"/>
      <c r="P116" s="324"/>
      <c r="Q116" s="323"/>
      <c r="R116" s="324"/>
      <c r="S116" s="325"/>
      <c r="T116" s="324"/>
      <c r="U116" s="323"/>
      <c r="V116" s="324"/>
      <c r="W116" s="325"/>
      <c r="X116" s="324"/>
      <c r="Y116" s="323"/>
      <c r="Z116" s="324"/>
      <c r="AA116" s="325"/>
      <c r="AB116" s="324"/>
      <c r="AC116" s="323"/>
      <c r="AD116" s="324"/>
      <c r="AE116" s="325"/>
      <c r="AF116" s="324"/>
      <c r="AG116" s="323"/>
      <c r="AH116" s="324"/>
      <c r="AI116" s="325"/>
      <c r="AJ116" s="324"/>
      <c r="AK116" s="323"/>
      <c r="AL116" s="324"/>
      <c r="AM116" s="325"/>
      <c r="AN116" s="324"/>
    </row>
    <row r="117" spans="1:45">
      <c r="A117" s="194" t="s">
        <v>639</v>
      </c>
      <c r="B117" s="150" t="s">
        <v>540</v>
      </c>
      <c r="C117" s="151">
        <v>135160</v>
      </c>
      <c r="D117" s="151">
        <v>9</v>
      </c>
      <c r="E117" s="323">
        <v>2237.4</v>
      </c>
      <c r="F117" s="337">
        <v>2447.4</v>
      </c>
      <c r="G117" s="325">
        <v>8521.5</v>
      </c>
      <c r="H117" s="337">
        <v>9570.9</v>
      </c>
      <c r="I117" s="323"/>
      <c r="J117" s="324"/>
      <c r="K117" s="325"/>
      <c r="L117" s="324"/>
      <c r="M117" s="323"/>
      <c r="N117" s="324"/>
      <c r="O117" s="325"/>
      <c r="P117" s="324"/>
      <c r="Q117" s="323"/>
      <c r="R117" s="324"/>
      <c r="S117" s="325"/>
      <c r="T117" s="324"/>
      <c r="U117" s="323"/>
      <c r="V117" s="324"/>
      <c r="W117" s="325"/>
      <c r="X117" s="324"/>
      <c r="Y117" s="323"/>
      <c r="Z117" s="324"/>
      <c r="AA117" s="325"/>
      <c r="AB117" s="324"/>
      <c r="AC117" s="323"/>
      <c r="AD117" s="324"/>
      <c r="AE117" s="325"/>
      <c r="AF117" s="324"/>
      <c r="AG117" s="323"/>
      <c r="AH117" s="324"/>
      <c r="AI117" s="325"/>
      <c r="AJ117" s="324"/>
      <c r="AK117" s="323"/>
      <c r="AL117" s="324"/>
      <c r="AM117" s="325"/>
      <c r="AN117" s="324"/>
    </row>
    <row r="118" spans="1:45">
      <c r="A118" s="194" t="s">
        <v>639</v>
      </c>
      <c r="B118" s="150" t="s">
        <v>541</v>
      </c>
      <c r="C118" s="151">
        <v>135188</v>
      </c>
      <c r="D118" s="151">
        <v>9</v>
      </c>
      <c r="E118" s="323">
        <v>2325.6</v>
      </c>
      <c r="F118" s="324">
        <v>2556</v>
      </c>
      <c r="G118" s="325">
        <v>8742.6</v>
      </c>
      <c r="H118" s="324">
        <v>9627</v>
      </c>
      <c r="I118" s="323"/>
      <c r="J118" s="324"/>
      <c r="K118" s="325"/>
      <c r="L118" s="324"/>
      <c r="M118" s="323"/>
      <c r="N118" s="324"/>
      <c r="O118" s="325"/>
      <c r="P118" s="324"/>
      <c r="Q118" s="323"/>
      <c r="R118" s="324"/>
      <c r="S118" s="325"/>
      <c r="T118" s="324"/>
      <c r="U118" s="323"/>
      <c r="V118" s="324"/>
      <c r="W118" s="325"/>
      <c r="X118" s="324"/>
      <c r="Y118" s="323"/>
      <c r="Z118" s="324"/>
      <c r="AA118" s="325"/>
      <c r="AB118" s="324"/>
      <c r="AC118" s="323"/>
      <c r="AD118" s="324"/>
      <c r="AE118" s="325"/>
      <c r="AF118" s="324"/>
      <c r="AG118" s="323"/>
      <c r="AH118" s="324"/>
      <c r="AI118" s="325"/>
      <c r="AJ118" s="324"/>
      <c r="AK118" s="323"/>
      <c r="AL118" s="324"/>
      <c r="AM118" s="325"/>
      <c r="AN118" s="324"/>
    </row>
    <row r="119" spans="1:45">
      <c r="A119" s="194" t="s">
        <v>639</v>
      </c>
      <c r="B119" s="150" t="s">
        <v>351</v>
      </c>
      <c r="C119" s="151">
        <v>137315</v>
      </c>
      <c r="D119" s="151">
        <v>9</v>
      </c>
      <c r="E119" s="323">
        <v>2281.1999999999998</v>
      </c>
      <c r="F119" s="324">
        <v>2560.8000000000002</v>
      </c>
      <c r="G119" s="325">
        <v>8589.2999999999993</v>
      </c>
      <c r="H119" s="324">
        <v>9660.6</v>
      </c>
      <c r="I119" s="323"/>
      <c r="J119" s="324"/>
      <c r="K119" s="325"/>
      <c r="L119" s="324"/>
      <c r="M119" s="323"/>
      <c r="N119" s="324"/>
      <c r="O119" s="325"/>
      <c r="P119" s="324"/>
      <c r="Q119" s="323"/>
      <c r="R119" s="324"/>
      <c r="S119" s="325"/>
      <c r="T119" s="324"/>
      <c r="U119" s="323"/>
      <c r="V119" s="324"/>
      <c r="W119" s="325"/>
      <c r="X119" s="324"/>
      <c r="Y119" s="323"/>
      <c r="Z119" s="324"/>
      <c r="AA119" s="325"/>
      <c r="AB119" s="324"/>
      <c r="AC119" s="323"/>
      <c r="AD119" s="324"/>
      <c r="AE119" s="325"/>
      <c r="AF119" s="324"/>
      <c r="AG119" s="323"/>
      <c r="AH119" s="324"/>
      <c r="AI119" s="325"/>
      <c r="AJ119" s="324"/>
      <c r="AK119" s="323"/>
      <c r="AL119" s="324"/>
      <c r="AM119" s="325"/>
      <c r="AN119" s="324"/>
    </row>
    <row r="120" spans="1:45">
      <c r="A120" s="194" t="s">
        <v>639</v>
      </c>
      <c r="B120" s="150" t="s">
        <v>347</v>
      </c>
      <c r="C120" s="151">
        <v>137281</v>
      </c>
      <c r="D120" s="151">
        <v>9</v>
      </c>
      <c r="E120" s="323">
        <v>2340</v>
      </c>
      <c r="F120" s="324">
        <v>2550</v>
      </c>
      <c r="G120" s="325">
        <v>8794.5</v>
      </c>
      <c r="H120" s="324">
        <v>9585</v>
      </c>
      <c r="I120" s="323"/>
      <c r="J120" s="324"/>
      <c r="K120" s="325"/>
      <c r="L120" s="324"/>
      <c r="M120" s="323"/>
      <c r="N120" s="324"/>
      <c r="O120" s="325"/>
      <c r="P120" s="324"/>
      <c r="Q120" s="323"/>
      <c r="R120" s="324"/>
      <c r="S120" s="325"/>
      <c r="T120" s="324"/>
      <c r="U120" s="323"/>
      <c r="V120" s="324"/>
      <c r="W120" s="325"/>
      <c r="X120" s="324"/>
      <c r="Y120" s="323"/>
      <c r="Z120" s="324"/>
      <c r="AA120" s="325"/>
      <c r="AB120" s="324"/>
      <c r="AC120" s="323"/>
      <c r="AD120" s="324"/>
      <c r="AE120" s="325"/>
      <c r="AF120" s="324"/>
      <c r="AG120" s="323"/>
      <c r="AH120" s="324"/>
      <c r="AI120" s="325"/>
      <c r="AJ120" s="324"/>
      <c r="AK120" s="323"/>
      <c r="AL120" s="324"/>
      <c r="AM120" s="325"/>
      <c r="AN120" s="324"/>
    </row>
    <row r="121" spans="1:45">
      <c r="A121" s="194" t="s">
        <v>639</v>
      </c>
      <c r="B121" s="150" t="s">
        <v>536</v>
      </c>
      <c r="C121" s="151">
        <v>133960</v>
      </c>
      <c r="D121" s="151">
        <v>10</v>
      </c>
      <c r="E121" s="323">
        <v>2384.6999999999998</v>
      </c>
      <c r="F121" s="324">
        <v>2676.96</v>
      </c>
      <c r="G121" s="325">
        <v>8979.9</v>
      </c>
      <c r="H121" s="324">
        <v>9400.7999999999993</v>
      </c>
      <c r="I121" s="323"/>
      <c r="J121" s="324"/>
      <c r="K121" s="325"/>
      <c r="L121" s="324"/>
      <c r="M121" s="323"/>
      <c r="N121" s="324"/>
      <c r="O121" s="325"/>
      <c r="P121" s="324"/>
      <c r="Q121" s="323"/>
      <c r="R121" s="324"/>
      <c r="S121" s="325"/>
      <c r="T121" s="324"/>
      <c r="U121" s="323"/>
      <c r="V121" s="324"/>
      <c r="W121" s="325"/>
      <c r="X121" s="324"/>
      <c r="Y121" s="323"/>
      <c r="Z121" s="324"/>
      <c r="AA121" s="325"/>
      <c r="AB121" s="324"/>
      <c r="AC121" s="323"/>
      <c r="AD121" s="324"/>
      <c r="AE121" s="325"/>
      <c r="AF121" s="324"/>
      <c r="AG121" s="323"/>
      <c r="AH121" s="324"/>
      <c r="AI121" s="325"/>
      <c r="AJ121" s="324"/>
      <c r="AK121" s="323"/>
      <c r="AL121" s="324"/>
      <c r="AM121" s="325"/>
      <c r="AN121" s="324"/>
    </row>
    <row r="122" spans="1:45">
      <c r="A122" s="194" t="s">
        <v>639</v>
      </c>
      <c r="B122" s="150" t="s">
        <v>543</v>
      </c>
      <c r="C122" s="151">
        <v>136145</v>
      </c>
      <c r="D122" s="151">
        <v>10</v>
      </c>
      <c r="E122" s="323">
        <v>2190</v>
      </c>
      <c r="F122" s="324">
        <v>2406</v>
      </c>
      <c r="G122" s="325">
        <v>7734</v>
      </c>
      <c r="H122" s="324">
        <v>9240</v>
      </c>
      <c r="I122" s="323"/>
      <c r="J122" s="324"/>
      <c r="K122" s="325"/>
      <c r="L122" s="324"/>
      <c r="M122" s="323"/>
      <c r="N122" s="324"/>
      <c r="O122" s="325"/>
      <c r="P122" s="324"/>
      <c r="Q122" s="323"/>
      <c r="R122" s="324"/>
      <c r="S122" s="325"/>
      <c r="T122" s="324"/>
      <c r="U122" s="323"/>
      <c r="V122" s="324"/>
      <c r="W122" s="325"/>
      <c r="X122" s="324"/>
      <c r="Y122" s="323"/>
      <c r="Z122" s="324"/>
      <c r="AA122" s="325"/>
      <c r="AB122" s="324"/>
      <c r="AC122" s="323"/>
      <c r="AD122" s="324"/>
      <c r="AE122" s="325"/>
      <c r="AF122" s="324"/>
      <c r="AG122" s="323"/>
      <c r="AH122" s="324"/>
      <c r="AI122" s="325"/>
      <c r="AJ122" s="324"/>
      <c r="AK122" s="323"/>
      <c r="AL122" s="324"/>
      <c r="AM122" s="325"/>
      <c r="AN122" s="324"/>
      <c r="AO122" s="453"/>
      <c r="AP122" s="453"/>
      <c r="AQ122" s="453"/>
      <c r="AR122" s="453"/>
      <c r="AS122" s="453"/>
    </row>
    <row r="123" spans="1:45">
      <c r="A123" s="171" t="s">
        <v>645</v>
      </c>
      <c r="B123" s="207" t="s">
        <v>651</v>
      </c>
      <c r="C123" s="171">
        <v>139940</v>
      </c>
      <c r="D123" s="171">
        <v>1</v>
      </c>
      <c r="E123" s="323">
        <v>6056</v>
      </c>
      <c r="F123" s="324">
        <v>7598</v>
      </c>
      <c r="G123" s="325">
        <v>20624</v>
      </c>
      <c r="H123" s="324">
        <v>25808</v>
      </c>
      <c r="I123" s="323">
        <v>6922</v>
      </c>
      <c r="J123" s="324">
        <v>7936</v>
      </c>
      <c r="K123" s="325">
        <v>24078</v>
      </c>
      <c r="L123" s="324">
        <v>27152</v>
      </c>
      <c r="M123" s="323">
        <v>10560</v>
      </c>
      <c r="N123" s="324">
        <f>(5148*2)+714+814</f>
        <v>11824</v>
      </c>
      <c r="O123" s="325">
        <v>30216</v>
      </c>
      <c r="P123" s="324">
        <f>(15660*2)+(714*2)+100</f>
        <v>32848</v>
      </c>
      <c r="Q123" s="323"/>
      <c r="R123" s="324"/>
      <c r="S123" s="325"/>
      <c r="T123" s="324"/>
      <c r="U123" s="323"/>
      <c r="V123" s="324"/>
      <c r="W123" s="325"/>
      <c r="X123" s="324"/>
      <c r="Y123" s="323"/>
      <c r="Z123" s="324"/>
      <c r="AA123" s="325"/>
      <c r="AB123" s="324"/>
      <c r="AC123" s="323"/>
      <c r="AD123" s="324"/>
      <c r="AE123" s="325"/>
      <c r="AF123" s="324"/>
      <c r="AG123" s="323"/>
      <c r="AH123" s="324"/>
      <c r="AI123" s="325"/>
      <c r="AJ123" s="324"/>
      <c r="AK123" s="323"/>
      <c r="AL123" s="324"/>
      <c r="AM123" s="325"/>
      <c r="AN123" s="324"/>
    </row>
    <row r="124" spans="1:45">
      <c r="A124" s="171" t="s">
        <v>645</v>
      </c>
      <c r="B124" s="207" t="s">
        <v>652</v>
      </c>
      <c r="C124" s="171">
        <v>139959</v>
      </c>
      <c r="D124" s="171">
        <v>1</v>
      </c>
      <c r="E124" s="323">
        <v>6030</v>
      </c>
      <c r="F124" s="324">
        <v>7630</v>
      </c>
      <c r="G124" s="325">
        <v>22342</v>
      </c>
      <c r="H124" s="324">
        <v>25840</v>
      </c>
      <c r="I124" s="323">
        <v>6670</v>
      </c>
      <c r="J124" s="324">
        <v>7560</v>
      </c>
      <c r="K124" s="325">
        <v>22078</v>
      </c>
      <c r="L124" s="324">
        <v>22464</v>
      </c>
      <c r="M124" s="323">
        <v>13090</v>
      </c>
      <c r="N124" s="324">
        <f>(6494*2)+(730*2)+100</f>
        <v>14548</v>
      </c>
      <c r="O124" s="325">
        <v>29940</v>
      </c>
      <c r="P124" s="324">
        <f>(14383*2)+(730*2)+100</f>
        <v>30326</v>
      </c>
      <c r="Q124" s="323"/>
      <c r="R124" s="324"/>
      <c r="S124" s="325"/>
      <c r="T124" s="324"/>
      <c r="U124" s="323"/>
      <c r="V124" s="324"/>
      <c r="W124" s="325"/>
      <c r="X124" s="324"/>
      <c r="Y124" s="323">
        <v>11206</v>
      </c>
      <c r="Z124" s="324">
        <f>(5628*2)+(730*2)+100</f>
        <v>12816</v>
      </c>
      <c r="AA124" s="325">
        <v>28970</v>
      </c>
      <c r="AB124" s="324">
        <f>(14615*2)+(730*2)+100</f>
        <v>30790</v>
      </c>
      <c r="AC124" s="323"/>
      <c r="AD124" s="324"/>
      <c r="AE124" s="325"/>
      <c r="AF124" s="324"/>
      <c r="AG124" s="323"/>
      <c r="AH124" s="324"/>
      <c r="AI124" s="325"/>
      <c r="AJ124" s="324"/>
      <c r="AK124" s="323">
        <v>13222</v>
      </c>
      <c r="AL124" s="324">
        <f>(6385*2)+(730*2)+100</f>
        <v>14330</v>
      </c>
      <c r="AM124" s="325">
        <f>34440+452</f>
        <v>34892</v>
      </c>
      <c r="AN124" s="324">
        <f>(17220*2)+(730*2)+100</f>
        <v>36000</v>
      </c>
    </row>
    <row r="125" spans="1:45">
      <c r="A125" s="171" t="s">
        <v>645</v>
      </c>
      <c r="B125" s="207" t="s">
        <v>653</v>
      </c>
      <c r="C125" s="171">
        <v>139755</v>
      </c>
      <c r="D125" s="171">
        <v>2</v>
      </c>
      <c r="E125" s="323">
        <v>6040</v>
      </c>
      <c r="F125" s="324">
        <v>7606</v>
      </c>
      <c r="G125" s="325">
        <v>25182</v>
      </c>
      <c r="H125" s="324">
        <v>25816</v>
      </c>
      <c r="I125" s="323">
        <v>6854</v>
      </c>
      <c r="J125" s="324">
        <v>8420</v>
      </c>
      <c r="K125" s="325">
        <v>24926</v>
      </c>
      <c r="L125" s="324">
        <v>26492</v>
      </c>
      <c r="M125" s="323"/>
      <c r="N125" s="324"/>
      <c r="O125" s="325"/>
      <c r="P125" s="324"/>
      <c r="Q125" s="323"/>
      <c r="R125" s="324"/>
      <c r="S125" s="325"/>
      <c r="T125" s="324"/>
      <c r="U125" s="323"/>
      <c r="V125" s="324"/>
      <c r="W125" s="325"/>
      <c r="X125" s="324"/>
      <c r="Y125" s="323"/>
      <c r="Z125" s="324"/>
      <c r="AA125" s="325"/>
      <c r="AB125" s="324"/>
      <c r="AC125" s="323"/>
      <c r="AD125" s="324"/>
      <c r="AE125" s="325"/>
      <c r="AF125" s="324"/>
      <c r="AG125" s="323"/>
      <c r="AH125" s="324"/>
      <c r="AI125" s="325"/>
      <c r="AJ125" s="324"/>
      <c r="AK125" s="323"/>
      <c r="AL125" s="324"/>
      <c r="AM125" s="325"/>
      <c r="AN125" s="324"/>
    </row>
    <row r="126" spans="1:45">
      <c r="A126" s="171" t="s">
        <v>645</v>
      </c>
      <c r="B126" s="207" t="s">
        <v>654</v>
      </c>
      <c r="C126" s="171">
        <v>139931</v>
      </c>
      <c r="D126" s="171">
        <v>3</v>
      </c>
      <c r="E126" s="323">
        <v>4348</v>
      </c>
      <c r="F126" s="324">
        <v>5540</v>
      </c>
      <c r="G126" s="325">
        <v>13930</v>
      </c>
      <c r="H126" s="324">
        <v>17516</v>
      </c>
      <c r="I126" s="323">
        <v>4992</v>
      </c>
      <c r="J126" s="324">
        <v>6584</v>
      </c>
      <c r="K126" s="325">
        <v>16488</v>
      </c>
      <c r="L126" s="324">
        <v>21680</v>
      </c>
      <c r="M126" s="323"/>
      <c r="N126" s="324"/>
      <c r="O126" s="325"/>
      <c r="P126" s="324"/>
      <c r="Q126" s="323"/>
      <c r="R126" s="324"/>
      <c r="S126" s="325"/>
      <c r="T126" s="324"/>
      <c r="U126" s="323"/>
      <c r="V126" s="324"/>
      <c r="W126" s="325"/>
      <c r="X126" s="324"/>
      <c r="Y126" s="323"/>
      <c r="Z126" s="324"/>
      <c r="AA126" s="325"/>
      <c r="AB126" s="324"/>
      <c r="AC126" s="323"/>
      <c r="AD126" s="324"/>
      <c r="AE126" s="325"/>
      <c r="AF126" s="324"/>
      <c r="AG126" s="323"/>
      <c r="AH126" s="324"/>
      <c r="AI126" s="325"/>
      <c r="AJ126" s="324"/>
      <c r="AK126" s="323"/>
      <c r="AL126" s="324"/>
      <c r="AM126" s="325"/>
      <c r="AN126" s="324"/>
    </row>
    <row r="127" spans="1:45">
      <c r="A127" s="171" t="s">
        <v>645</v>
      </c>
      <c r="B127" s="132" t="s">
        <v>655</v>
      </c>
      <c r="C127" s="171">
        <v>141334</v>
      </c>
      <c r="D127" s="171">
        <v>3</v>
      </c>
      <c r="E127" s="323">
        <v>4316</v>
      </c>
      <c r="F127" s="324">
        <v>5482</v>
      </c>
      <c r="G127" s="325">
        <v>13898</v>
      </c>
      <c r="H127" s="324">
        <v>17458</v>
      </c>
      <c r="I127" s="323">
        <v>4900</v>
      </c>
      <c r="J127" s="324">
        <v>5418</v>
      </c>
      <c r="K127" s="325">
        <v>16232</v>
      </c>
      <c r="L127" s="324">
        <v>17222</v>
      </c>
      <c r="M127" s="323"/>
      <c r="N127" s="324"/>
      <c r="O127" s="325"/>
      <c r="P127" s="324"/>
      <c r="Q127" s="323"/>
      <c r="R127" s="324"/>
      <c r="S127" s="325"/>
      <c r="T127" s="324"/>
      <c r="U127" s="323"/>
      <c r="V127" s="324"/>
      <c r="W127" s="325"/>
      <c r="X127" s="324"/>
      <c r="Y127" s="323"/>
      <c r="Z127" s="324"/>
      <c r="AA127" s="325"/>
      <c r="AB127" s="324"/>
      <c r="AC127" s="323"/>
      <c r="AD127" s="324"/>
      <c r="AE127" s="325"/>
      <c r="AF127" s="324"/>
      <c r="AG127" s="323"/>
      <c r="AH127" s="324"/>
      <c r="AI127" s="325"/>
      <c r="AJ127" s="324"/>
      <c r="AK127" s="323"/>
      <c r="AL127" s="324"/>
      <c r="AM127" s="325"/>
      <c r="AN127" s="324"/>
    </row>
    <row r="128" spans="1:45">
      <c r="A128" s="171" t="s">
        <v>645</v>
      </c>
      <c r="B128" s="132" t="s">
        <v>656</v>
      </c>
      <c r="C128" s="171">
        <v>141264</v>
      </c>
      <c r="D128" s="171">
        <v>3</v>
      </c>
      <c r="E128" s="323">
        <v>4456</v>
      </c>
      <c r="F128" s="324">
        <v>5606</v>
      </c>
      <c r="G128" s="325">
        <v>14038</v>
      </c>
      <c r="H128" s="324">
        <v>17582</v>
      </c>
      <c r="I128" s="323">
        <v>4988</v>
      </c>
      <c r="J128" s="324">
        <v>5710</v>
      </c>
      <c r="K128" s="325">
        <v>16164</v>
      </c>
      <c r="L128" s="324">
        <v>18010</v>
      </c>
      <c r="M128" s="323"/>
      <c r="N128" s="324"/>
      <c r="O128" s="325"/>
      <c r="P128" s="324"/>
      <c r="Q128" s="323"/>
      <c r="R128" s="324"/>
      <c r="S128" s="325"/>
      <c r="T128" s="324"/>
      <c r="U128" s="323"/>
      <c r="V128" s="324"/>
      <c r="W128" s="325"/>
      <c r="X128" s="324"/>
      <c r="Y128" s="323"/>
      <c r="Z128" s="324"/>
      <c r="AA128" s="325"/>
      <c r="AB128" s="324"/>
      <c r="AC128" s="323"/>
      <c r="AD128" s="324"/>
      <c r="AE128" s="325"/>
      <c r="AF128" s="324"/>
      <c r="AG128" s="323"/>
      <c r="AH128" s="324"/>
      <c r="AI128" s="325"/>
      <c r="AJ128" s="324"/>
      <c r="AK128" s="323"/>
      <c r="AL128" s="324"/>
      <c r="AM128" s="325"/>
      <c r="AN128" s="324"/>
    </row>
    <row r="129" spans="1:40">
      <c r="A129" s="171" t="s">
        <v>645</v>
      </c>
      <c r="B129" s="207" t="s">
        <v>657</v>
      </c>
      <c r="C129" s="171">
        <v>138716</v>
      </c>
      <c r="D129" s="171">
        <v>4</v>
      </c>
      <c r="E129" s="323">
        <v>3710</v>
      </c>
      <c r="F129" s="324">
        <v>4911</v>
      </c>
      <c r="G129" s="325">
        <v>13002</v>
      </c>
      <c r="H129" s="324">
        <v>16525</v>
      </c>
      <c r="I129" s="323">
        <v>4296</v>
      </c>
      <c r="J129" s="324">
        <v>4907</v>
      </c>
      <c r="K129" s="325">
        <v>15338</v>
      </c>
      <c r="L129" s="324">
        <v>16517</v>
      </c>
      <c r="M129" s="323"/>
      <c r="N129" s="324"/>
      <c r="O129" s="325"/>
      <c r="P129" s="324"/>
      <c r="Q129" s="323"/>
      <c r="R129" s="324"/>
      <c r="S129" s="325"/>
      <c r="T129" s="324"/>
      <c r="U129" s="323"/>
      <c r="V129" s="324"/>
      <c r="W129" s="325"/>
      <c r="X129" s="324"/>
      <c r="Y129" s="323"/>
      <c r="Z129" s="324"/>
      <c r="AA129" s="325"/>
      <c r="AB129" s="324"/>
      <c r="AC129" s="323"/>
      <c r="AD129" s="324"/>
      <c r="AE129" s="325"/>
      <c r="AF129" s="324"/>
      <c r="AG129" s="323"/>
      <c r="AH129" s="324"/>
      <c r="AI129" s="325"/>
      <c r="AJ129" s="324"/>
      <c r="AK129" s="323"/>
      <c r="AL129" s="324"/>
      <c r="AM129" s="325"/>
      <c r="AN129" s="324"/>
    </row>
    <row r="130" spans="1:40">
      <c r="A130" s="171" t="s">
        <v>645</v>
      </c>
      <c r="B130" s="207" t="s">
        <v>658</v>
      </c>
      <c r="C130" s="171">
        <v>138789</v>
      </c>
      <c r="D130" s="171">
        <v>4</v>
      </c>
      <c r="E130" s="323">
        <v>3876</v>
      </c>
      <c r="F130" s="324">
        <v>4877</v>
      </c>
      <c r="G130" s="325">
        <v>13168</v>
      </c>
      <c r="H130" s="324">
        <v>16491</v>
      </c>
      <c r="I130" s="323">
        <v>4330</v>
      </c>
      <c r="J130" s="324">
        <v>4911</v>
      </c>
      <c r="K130" s="325">
        <v>14986</v>
      </c>
      <c r="L130" s="324">
        <v>16635</v>
      </c>
      <c r="M130" s="323"/>
      <c r="N130" s="324"/>
      <c r="O130" s="325"/>
      <c r="P130" s="324"/>
      <c r="Q130" s="323"/>
      <c r="R130" s="324"/>
      <c r="S130" s="325"/>
      <c r="T130" s="324"/>
      <c r="U130" s="323"/>
      <c r="V130" s="324"/>
      <c r="W130" s="325"/>
      <c r="X130" s="324"/>
      <c r="Y130" s="323"/>
      <c r="Z130" s="324"/>
      <c r="AA130" s="325"/>
      <c r="AB130" s="324"/>
      <c r="AC130" s="323"/>
      <c r="AD130" s="324"/>
      <c r="AE130" s="325"/>
      <c r="AF130" s="324"/>
      <c r="AG130" s="323"/>
      <c r="AH130" s="324"/>
      <c r="AI130" s="325"/>
      <c r="AJ130" s="324"/>
      <c r="AK130" s="323"/>
      <c r="AL130" s="324"/>
      <c r="AM130" s="325"/>
      <c r="AN130" s="324"/>
    </row>
    <row r="131" spans="1:40">
      <c r="A131" s="171" t="s">
        <v>645</v>
      </c>
      <c r="B131" s="132" t="s">
        <v>659</v>
      </c>
      <c r="C131" s="171">
        <v>139366</v>
      </c>
      <c r="D131" s="171">
        <v>4</v>
      </c>
      <c r="E131" s="323">
        <v>3772</v>
      </c>
      <c r="F131" s="324">
        <v>5099</v>
      </c>
      <c r="G131" s="325">
        <v>13064</v>
      </c>
      <c r="H131" s="324">
        <v>16713</v>
      </c>
      <c r="I131" s="323">
        <v>4084</v>
      </c>
      <c r="J131" s="324">
        <v>4975</v>
      </c>
      <c r="K131" s="325">
        <v>14308</v>
      </c>
      <c r="L131" s="324">
        <v>16225</v>
      </c>
      <c r="M131" s="323"/>
      <c r="N131" s="324"/>
      <c r="O131" s="325"/>
      <c r="P131" s="324"/>
      <c r="Q131" s="323"/>
      <c r="R131" s="324"/>
      <c r="S131" s="325"/>
      <c r="T131" s="324"/>
      <c r="U131" s="323"/>
      <c r="V131" s="324"/>
      <c r="W131" s="325"/>
      <c r="X131" s="324"/>
      <c r="Y131" s="323"/>
      <c r="Z131" s="324"/>
      <c r="AA131" s="325"/>
      <c r="AB131" s="324"/>
      <c r="AC131" s="323"/>
      <c r="AD131" s="324"/>
      <c r="AE131" s="325"/>
      <c r="AF131" s="324"/>
      <c r="AG131" s="323"/>
      <c r="AH131" s="324"/>
      <c r="AI131" s="325"/>
      <c r="AJ131" s="324"/>
      <c r="AK131" s="323"/>
      <c r="AL131" s="324"/>
      <c r="AM131" s="325"/>
      <c r="AN131" s="324"/>
    </row>
    <row r="132" spans="1:40">
      <c r="A132" s="171" t="s">
        <v>645</v>
      </c>
      <c r="B132" s="207" t="s">
        <v>660</v>
      </c>
      <c r="C132" s="171">
        <v>139861</v>
      </c>
      <c r="D132" s="171">
        <v>4</v>
      </c>
      <c r="E132" s="323">
        <v>5476</v>
      </c>
      <c r="F132" s="324">
        <v>7002</v>
      </c>
      <c r="G132" s="325">
        <v>19108</v>
      </c>
      <c r="H132" s="324">
        <v>24040</v>
      </c>
      <c r="I132" s="323">
        <v>6182</v>
      </c>
      <c r="J132" s="324">
        <v>7096</v>
      </c>
      <c r="K132" s="325">
        <v>21934</v>
      </c>
      <c r="L132" s="324">
        <v>24432</v>
      </c>
      <c r="M132" s="323"/>
      <c r="N132" s="324"/>
      <c r="O132" s="325"/>
      <c r="P132" s="324"/>
      <c r="Q132" s="323"/>
      <c r="R132" s="324"/>
      <c r="S132" s="325"/>
      <c r="T132" s="324"/>
      <c r="U132" s="323"/>
      <c r="V132" s="324"/>
      <c r="W132" s="325"/>
      <c r="X132" s="324"/>
      <c r="Y132" s="323"/>
      <c r="Z132" s="324"/>
      <c r="AA132" s="325"/>
      <c r="AB132" s="324"/>
      <c r="AC132" s="323"/>
      <c r="AD132" s="324"/>
      <c r="AE132" s="325"/>
      <c r="AF132" s="324"/>
      <c r="AG132" s="323"/>
      <c r="AH132" s="324"/>
      <c r="AI132" s="325"/>
      <c r="AJ132" s="324"/>
      <c r="AK132" s="323"/>
      <c r="AL132" s="324"/>
      <c r="AM132" s="325"/>
      <c r="AN132" s="324"/>
    </row>
    <row r="133" spans="1:40">
      <c r="A133" s="171" t="s">
        <v>645</v>
      </c>
      <c r="B133" s="207" t="s">
        <v>661</v>
      </c>
      <c r="C133" s="171">
        <v>140164</v>
      </c>
      <c r="D133" s="171">
        <v>4</v>
      </c>
      <c r="E133" s="323">
        <v>4144</v>
      </c>
      <c r="F133" s="324">
        <v>5242</v>
      </c>
      <c r="G133" s="325">
        <v>13726</v>
      </c>
      <c r="H133" s="324">
        <v>17218</v>
      </c>
      <c r="I133" s="323">
        <v>5204</v>
      </c>
      <c r="J133" s="324">
        <v>5928</v>
      </c>
      <c r="K133" s="325">
        <v>17966</v>
      </c>
      <c r="L133" s="324">
        <v>20038</v>
      </c>
      <c r="M133" s="323"/>
      <c r="N133" s="324"/>
      <c r="O133" s="325"/>
      <c r="P133" s="324"/>
      <c r="Q133" s="323"/>
      <c r="R133" s="324"/>
      <c r="S133" s="325"/>
      <c r="T133" s="324"/>
      <c r="U133" s="323"/>
      <c r="V133" s="324"/>
      <c r="W133" s="325"/>
      <c r="X133" s="324"/>
      <c r="Y133" s="323"/>
      <c r="Z133" s="324"/>
      <c r="AA133" s="325"/>
      <c r="AB133" s="324"/>
      <c r="AC133" s="323"/>
      <c r="AD133" s="324"/>
      <c r="AE133" s="325"/>
      <c r="AF133" s="324"/>
      <c r="AG133" s="323"/>
      <c r="AH133" s="324"/>
      <c r="AI133" s="325"/>
      <c r="AJ133" s="324"/>
      <c r="AK133" s="323"/>
      <c r="AL133" s="324"/>
      <c r="AM133" s="325"/>
      <c r="AN133" s="324"/>
    </row>
    <row r="134" spans="1:40">
      <c r="A134" s="171" t="s">
        <v>645</v>
      </c>
      <c r="B134" s="207" t="s">
        <v>662</v>
      </c>
      <c r="C134" s="171">
        <v>138983</v>
      </c>
      <c r="D134" s="171">
        <v>5</v>
      </c>
      <c r="E134" s="323">
        <v>3644</v>
      </c>
      <c r="F134" s="324">
        <v>4709</v>
      </c>
      <c r="G134" s="325">
        <v>12936</v>
      </c>
      <c r="H134" s="324">
        <v>16323</v>
      </c>
      <c r="I134" s="323">
        <v>3898</v>
      </c>
      <c r="J134" s="324">
        <v>4423</v>
      </c>
      <c r="K134" s="325">
        <v>13978</v>
      </c>
      <c r="L134" s="324">
        <v>15209</v>
      </c>
      <c r="M134" s="323"/>
      <c r="N134" s="324"/>
      <c r="O134" s="325"/>
      <c r="P134" s="324"/>
      <c r="Q134" s="323"/>
      <c r="R134" s="324"/>
      <c r="S134" s="325"/>
      <c r="T134" s="324"/>
      <c r="U134" s="323"/>
      <c r="V134" s="324"/>
      <c r="W134" s="325"/>
      <c r="X134" s="324"/>
      <c r="Y134" s="323"/>
      <c r="Z134" s="324"/>
      <c r="AA134" s="325"/>
      <c r="AB134" s="324"/>
      <c r="AC134" s="323"/>
      <c r="AD134" s="324"/>
      <c r="AE134" s="325"/>
      <c r="AF134" s="324"/>
      <c r="AG134" s="323"/>
      <c r="AH134" s="324"/>
      <c r="AI134" s="325"/>
      <c r="AJ134" s="324"/>
      <c r="AK134" s="323"/>
      <c r="AL134" s="324"/>
      <c r="AM134" s="325"/>
      <c r="AN134" s="324"/>
    </row>
    <row r="135" spans="1:40">
      <c r="A135" s="171" t="s">
        <v>645</v>
      </c>
      <c r="B135" s="132" t="s">
        <v>663</v>
      </c>
      <c r="C135" s="171">
        <v>139719</v>
      </c>
      <c r="D135" s="171">
        <v>5</v>
      </c>
      <c r="E135" s="323">
        <v>4018</v>
      </c>
      <c r="F135" s="324">
        <v>5087</v>
      </c>
      <c r="G135" s="325">
        <v>13310</v>
      </c>
      <c r="H135" s="324">
        <v>16701</v>
      </c>
      <c r="I135" s="323">
        <v>4310</v>
      </c>
      <c r="J135" s="324">
        <v>4841</v>
      </c>
      <c r="K135" s="325">
        <v>14470</v>
      </c>
      <c r="L135" s="324">
        <v>15725</v>
      </c>
      <c r="M135" s="323"/>
      <c r="N135" s="324"/>
      <c r="O135" s="325"/>
      <c r="P135" s="324"/>
      <c r="Q135" s="323"/>
      <c r="R135" s="324"/>
      <c r="S135" s="325"/>
      <c r="T135" s="324"/>
      <c r="U135" s="323"/>
      <c r="V135" s="324"/>
      <c r="W135" s="325"/>
      <c r="X135" s="324"/>
      <c r="Y135" s="323"/>
      <c r="Z135" s="324"/>
      <c r="AA135" s="325"/>
      <c r="AB135" s="324"/>
      <c r="AC135" s="323"/>
      <c r="AD135" s="324"/>
      <c r="AE135" s="325"/>
      <c r="AF135" s="324"/>
      <c r="AG135" s="323"/>
      <c r="AH135" s="324"/>
      <c r="AI135" s="325"/>
      <c r="AJ135" s="324"/>
      <c r="AK135" s="323"/>
      <c r="AL135" s="324"/>
      <c r="AM135" s="325"/>
      <c r="AN135" s="324"/>
    </row>
    <row r="136" spans="1:40">
      <c r="A136" s="171" t="s">
        <v>645</v>
      </c>
      <c r="B136" s="207" t="s">
        <v>664</v>
      </c>
      <c r="C136" s="171">
        <v>139764</v>
      </c>
      <c r="D136" s="171">
        <v>5</v>
      </c>
      <c r="E136" s="323">
        <v>3836</v>
      </c>
      <c r="F136" s="324">
        <v>4857</v>
      </c>
      <c r="G136" s="325">
        <v>13128</v>
      </c>
      <c r="H136" s="324">
        <v>16471</v>
      </c>
      <c r="I136" s="323">
        <v>4128</v>
      </c>
      <c r="J136" s="324">
        <v>4543</v>
      </c>
      <c r="K136" s="325">
        <v>14288</v>
      </c>
      <c r="L136" s="324">
        <v>15223</v>
      </c>
      <c r="M136" s="323"/>
      <c r="N136" s="324"/>
      <c r="O136" s="325"/>
      <c r="P136" s="324"/>
      <c r="Q136" s="323"/>
      <c r="R136" s="324"/>
      <c r="S136" s="325"/>
      <c r="T136" s="324"/>
      <c r="U136" s="323"/>
      <c r="V136" s="324"/>
      <c r="W136" s="325"/>
      <c r="X136" s="324"/>
      <c r="Y136" s="323"/>
      <c r="Z136" s="324"/>
      <c r="AA136" s="325"/>
      <c r="AB136" s="324"/>
      <c r="AC136" s="323"/>
      <c r="AD136" s="324"/>
      <c r="AE136" s="325"/>
      <c r="AF136" s="324"/>
      <c r="AG136" s="323"/>
      <c r="AH136" s="324"/>
      <c r="AI136" s="325"/>
      <c r="AJ136" s="324"/>
      <c r="AK136" s="323"/>
      <c r="AL136" s="324"/>
      <c r="AM136" s="325"/>
      <c r="AN136" s="324"/>
    </row>
    <row r="137" spans="1:40">
      <c r="A137" s="171" t="s">
        <v>645</v>
      </c>
      <c r="B137" s="207" t="s">
        <v>665</v>
      </c>
      <c r="C137" s="171">
        <v>140669</v>
      </c>
      <c r="D137" s="171">
        <v>5</v>
      </c>
      <c r="E137" s="323">
        <v>4046</v>
      </c>
      <c r="F137" s="324">
        <v>5087</v>
      </c>
      <c r="G137" s="325">
        <v>13338</v>
      </c>
      <c r="H137" s="324">
        <v>16701</v>
      </c>
      <c r="I137" s="323">
        <v>4530</v>
      </c>
      <c r="J137" s="324">
        <v>4975</v>
      </c>
      <c r="K137" s="325">
        <v>15264</v>
      </c>
      <c r="L137" s="324">
        <v>16261</v>
      </c>
      <c r="M137" s="323"/>
      <c r="N137" s="324"/>
      <c r="O137" s="325"/>
      <c r="P137" s="324"/>
      <c r="Q137" s="323"/>
      <c r="R137" s="324"/>
      <c r="S137" s="325"/>
      <c r="T137" s="324"/>
      <c r="U137" s="323"/>
      <c r="V137" s="324"/>
      <c r="W137" s="325"/>
      <c r="X137" s="324"/>
      <c r="Y137" s="323"/>
      <c r="Z137" s="324"/>
      <c r="AA137" s="325"/>
      <c r="AB137" s="324"/>
      <c r="AC137" s="323"/>
      <c r="AD137" s="324"/>
      <c r="AE137" s="325"/>
      <c r="AF137" s="324"/>
      <c r="AG137" s="323"/>
      <c r="AH137" s="324"/>
      <c r="AI137" s="325"/>
      <c r="AJ137" s="324"/>
      <c r="AK137" s="323"/>
      <c r="AL137" s="324"/>
      <c r="AM137" s="325"/>
      <c r="AN137" s="324"/>
    </row>
    <row r="138" spans="1:40">
      <c r="A138" s="171" t="s">
        <v>645</v>
      </c>
      <c r="B138" s="207" t="s">
        <v>666</v>
      </c>
      <c r="C138" s="171">
        <v>140960</v>
      </c>
      <c r="D138" s="171">
        <v>5</v>
      </c>
      <c r="E138" s="323">
        <v>3726</v>
      </c>
      <c r="F138" s="324">
        <v>4849</v>
      </c>
      <c r="G138" s="325">
        <v>13018</v>
      </c>
      <c r="H138" s="324">
        <v>16463</v>
      </c>
      <c r="I138" s="323">
        <v>4018</v>
      </c>
      <c r="J138" s="324">
        <v>4637</v>
      </c>
      <c r="K138" s="325">
        <v>14178</v>
      </c>
      <c r="L138" s="324">
        <v>15623</v>
      </c>
      <c r="M138" s="323"/>
      <c r="N138" s="324"/>
      <c r="O138" s="325"/>
      <c r="P138" s="324"/>
      <c r="Q138" s="323"/>
      <c r="R138" s="324"/>
      <c r="S138" s="325"/>
      <c r="T138" s="324"/>
      <c r="U138" s="323"/>
      <c r="V138" s="324"/>
      <c r="W138" s="325"/>
      <c r="X138" s="324"/>
      <c r="Y138" s="323"/>
      <c r="Z138" s="324"/>
      <c r="AA138" s="325"/>
      <c r="AB138" s="324"/>
      <c r="AC138" s="323"/>
      <c r="AD138" s="324"/>
      <c r="AE138" s="325"/>
      <c r="AF138" s="324"/>
      <c r="AG138" s="323"/>
      <c r="AH138" s="324"/>
      <c r="AI138" s="325"/>
      <c r="AJ138" s="324"/>
      <c r="AK138" s="323"/>
      <c r="AL138" s="324"/>
      <c r="AM138" s="325"/>
      <c r="AN138" s="324"/>
    </row>
    <row r="139" spans="1:40">
      <c r="A139" s="171" t="s">
        <v>645</v>
      </c>
      <c r="B139" s="132" t="s">
        <v>667</v>
      </c>
      <c r="C139" s="171">
        <v>139311</v>
      </c>
      <c r="D139" s="171">
        <v>6</v>
      </c>
      <c r="E139" s="323">
        <v>3852</v>
      </c>
      <c r="F139" s="324">
        <v>4933</v>
      </c>
      <c r="G139" s="325">
        <v>13144</v>
      </c>
      <c r="H139" s="324">
        <v>16547</v>
      </c>
      <c r="I139" s="323">
        <v>4408</v>
      </c>
      <c r="J139" s="324">
        <v>5119</v>
      </c>
      <c r="K139" s="325">
        <v>15496</v>
      </c>
      <c r="L139" s="324">
        <v>17359</v>
      </c>
      <c r="M139" s="323"/>
      <c r="N139" s="324"/>
      <c r="O139" s="325"/>
      <c r="P139" s="324"/>
      <c r="Q139" s="323"/>
      <c r="R139" s="324"/>
      <c r="S139" s="325"/>
      <c r="T139" s="324"/>
      <c r="U139" s="323"/>
      <c r="V139" s="324"/>
      <c r="W139" s="325"/>
      <c r="X139" s="324"/>
      <c r="Y139" s="323"/>
      <c r="Z139" s="324"/>
      <c r="AA139" s="325"/>
      <c r="AB139" s="324"/>
      <c r="AC139" s="323"/>
      <c r="AD139" s="324"/>
      <c r="AE139" s="325"/>
      <c r="AF139" s="324"/>
      <c r="AG139" s="323"/>
      <c r="AH139" s="324"/>
      <c r="AI139" s="325"/>
      <c r="AJ139" s="324"/>
      <c r="AK139" s="323"/>
      <c r="AL139" s="324"/>
      <c r="AM139" s="325"/>
      <c r="AN139" s="324"/>
    </row>
    <row r="140" spans="1:40">
      <c r="A140" s="171" t="s">
        <v>645</v>
      </c>
      <c r="B140" s="132" t="s">
        <v>669</v>
      </c>
      <c r="C140" s="210">
        <v>140322</v>
      </c>
      <c r="D140" s="210">
        <v>6</v>
      </c>
      <c r="E140" s="323">
        <v>2182</v>
      </c>
      <c r="F140" s="324">
        <v>2832</v>
      </c>
      <c r="G140" s="325">
        <v>8164</v>
      </c>
      <c r="H140" s="324">
        <v>10314</v>
      </c>
      <c r="I140" s="323"/>
      <c r="J140" s="324"/>
      <c r="K140" s="325"/>
      <c r="L140" s="324"/>
      <c r="M140" s="323"/>
      <c r="N140" s="324"/>
      <c r="O140" s="325"/>
      <c r="P140" s="324"/>
      <c r="Q140" s="323"/>
      <c r="R140" s="324"/>
      <c r="S140" s="325"/>
      <c r="T140" s="324"/>
      <c r="U140" s="323"/>
      <c r="V140" s="324"/>
      <c r="W140" s="325"/>
      <c r="X140" s="324"/>
      <c r="Y140" s="323"/>
      <c r="Z140" s="324"/>
      <c r="AA140" s="325"/>
      <c r="AB140" s="324"/>
      <c r="AC140" s="323"/>
      <c r="AD140" s="324"/>
      <c r="AE140" s="325"/>
      <c r="AF140" s="324"/>
      <c r="AG140" s="323"/>
      <c r="AH140" s="324"/>
      <c r="AI140" s="325"/>
      <c r="AJ140" s="324"/>
      <c r="AK140" s="323"/>
      <c r="AL140" s="324"/>
      <c r="AM140" s="325"/>
      <c r="AN140" s="324"/>
    </row>
    <row r="141" spans="1:40">
      <c r="A141" s="171" t="s">
        <v>645</v>
      </c>
      <c r="B141" s="207" t="s">
        <v>670</v>
      </c>
      <c r="C141" s="171">
        <v>139463</v>
      </c>
      <c r="D141" s="171">
        <v>7</v>
      </c>
      <c r="E141" s="323">
        <v>2340</v>
      </c>
      <c r="F141" s="324">
        <v>2950</v>
      </c>
      <c r="G141" s="325">
        <v>8322</v>
      </c>
      <c r="H141" s="324">
        <v>10432</v>
      </c>
      <c r="I141" s="323"/>
      <c r="J141" s="324"/>
      <c r="K141" s="325"/>
      <c r="L141" s="324"/>
      <c r="M141" s="323"/>
      <c r="N141" s="324"/>
      <c r="O141" s="325"/>
      <c r="P141" s="324"/>
      <c r="Q141" s="323"/>
      <c r="R141" s="324"/>
      <c r="S141" s="325"/>
      <c r="T141" s="324"/>
      <c r="U141" s="323"/>
      <c r="V141" s="324"/>
      <c r="W141" s="325"/>
      <c r="X141" s="324"/>
      <c r="Y141" s="323"/>
      <c r="Z141" s="324"/>
      <c r="AA141" s="325"/>
      <c r="AB141" s="324"/>
      <c r="AC141" s="323"/>
      <c r="AD141" s="324"/>
      <c r="AE141" s="325"/>
      <c r="AF141" s="324"/>
      <c r="AG141" s="323"/>
      <c r="AH141" s="324"/>
      <c r="AI141" s="325"/>
      <c r="AJ141" s="324"/>
      <c r="AK141" s="323"/>
      <c r="AL141" s="324"/>
      <c r="AM141" s="325"/>
      <c r="AN141" s="324"/>
    </row>
    <row r="142" spans="1:40">
      <c r="A142" s="171" t="s">
        <v>645</v>
      </c>
      <c r="B142" s="207" t="s">
        <v>671</v>
      </c>
      <c r="C142" s="171">
        <v>244437</v>
      </c>
      <c r="D142" s="171">
        <v>8</v>
      </c>
      <c r="E142" s="323">
        <v>2322</v>
      </c>
      <c r="F142" s="324">
        <v>2978</v>
      </c>
      <c r="G142" s="325">
        <v>7824</v>
      </c>
      <c r="H142" s="324">
        <v>9856</v>
      </c>
      <c r="I142" s="323"/>
      <c r="J142" s="324"/>
      <c r="K142" s="325"/>
      <c r="L142" s="324"/>
      <c r="M142" s="323"/>
      <c r="N142" s="324"/>
      <c r="O142" s="325"/>
      <c r="P142" s="324"/>
      <c r="Q142" s="323"/>
      <c r="R142" s="324"/>
      <c r="S142" s="325"/>
      <c r="T142" s="324"/>
      <c r="U142" s="323"/>
      <c r="V142" s="324"/>
      <c r="W142" s="325"/>
      <c r="X142" s="324"/>
      <c r="Y142" s="323"/>
      <c r="Z142" s="324"/>
      <c r="AA142" s="325"/>
      <c r="AB142" s="324"/>
      <c r="AC142" s="323"/>
      <c r="AD142" s="324"/>
      <c r="AE142" s="325"/>
      <c r="AF142" s="324"/>
      <c r="AG142" s="323"/>
      <c r="AH142" s="324"/>
      <c r="AI142" s="325"/>
      <c r="AJ142" s="324"/>
      <c r="AK142" s="323"/>
      <c r="AL142" s="324"/>
      <c r="AM142" s="325"/>
      <c r="AN142" s="324"/>
    </row>
    <row r="143" spans="1:40">
      <c r="A143" s="171" t="s">
        <v>645</v>
      </c>
      <c r="B143" s="132" t="s">
        <v>672</v>
      </c>
      <c r="C143" s="171">
        <v>138558</v>
      </c>
      <c r="D143" s="171">
        <v>9</v>
      </c>
      <c r="E143" s="323">
        <v>2496</v>
      </c>
      <c r="F143" s="324">
        <v>3246</v>
      </c>
      <c r="G143" s="325">
        <v>8478</v>
      </c>
      <c r="H143" s="324">
        <v>10728</v>
      </c>
      <c r="I143" s="323"/>
      <c r="J143" s="324"/>
      <c r="K143" s="325"/>
      <c r="L143" s="324"/>
      <c r="M143" s="323"/>
      <c r="N143" s="324"/>
      <c r="O143" s="325"/>
      <c r="P143" s="324"/>
      <c r="Q143" s="323"/>
      <c r="R143" s="324"/>
      <c r="S143" s="325"/>
      <c r="T143" s="324"/>
      <c r="U143" s="323"/>
      <c r="V143" s="324"/>
      <c r="W143" s="325"/>
      <c r="X143" s="324"/>
      <c r="Y143" s="323"/>
      <c r="Z143" s="324"/>
      <c r="AA143" s="325"/>
      <c r="AB143" s="324"/>
      <c r="AC143" s="323"/>
      <c r="AD143" s="324"/>
      <c r="AE143" s="325"/>
      <c r="AF143" s="324"/>
      <c r="AG143" s="323"/>
      <c r="AH143" s="324"/>
      <c r="AI143" s="325"/>
      <c r="AJ143" s="324"/>
      <c r="AK143" s="323"/>
      <c r="AL143" s="324"/>
      <c r="AM143" s="325"/>
      <c r="AN143" s="324"/>
    </row>
    <row r="144" spans="1:40">
      <c r="A144" s="171" t="s">
        <v>645</v>
      </c>
      <c r="B144" s="230" t="s">
        <v>679</v>
      </c>
      <c r="C144" s="209">
        <v>139010</v>
      </c>
      <c r="D144" s="342">
        <v>9</v>
      </c>
      <c r="E144" s="323">
        <v>2326</v>
      </c>
      <c r="F144" s="324">
        <v>2936</v>
      </c>
      <c r="G144" s="325">
        <v>7828</v>
      </c>
      <c r="H144" s="324">
        <v>9814</v>
      </c>
      <c r="I144" s="323"/>
      <c r="J144" s="324"/>
      <c r="K144" s="325"/>
      <c r="L144" s="324"/>
      <c r="M144" s="323"/>
      <c r="N144" s="324"/>
      <c r="O144" s="325"/>
      <c r="P144" s="324"/>
      <c r="Q144" s="323"/>
      <c r="R144" s="324"/>
      <c r="S144" s="325"/>
      <c r="T144" s="324"/>
      <c r="U144" s="323"/>
      <c r="V144" s="324"/>
      <c r="W144" s="325"/>
      <c r="X144" s="324"/>
      <c r="Y144" s="323"/>
      <c r="Z144" s="324"/>
      <c r="AA144" s="325"/>
      <c r="AB144" s="324"/>
      <c r="AC144" s="323"/>
      <c r="AD144" s="324"/>
      <c r="AE144" s="325"/>
      <c r="AF144" s="324"/>
      <c r="AG144" s="323"/>
      <c r="AH144" s="324"/>
      <c r="AI144" s="325"/>
      <c r="AJ144" s="324"/>
      <c r="AK144" s="323"/>
      <c r="AL144" s="324"/>
      <c r="AM144" s="325"/>
      <c r="AN144" s="324"/>
    </row>
    <row r="145" spans="1:40">
      <c r="A145" s="171" t="s">
        <v>645</v>
      </c>
      <c r="B145" s="230" t="s">
        <v>20</v>
      </c>
      <c r="C145" s="209">
        <v>139250</v>
      </c>
      <c r="D145" s="174">
        <v>9</v>
      </c>
      <c r="E145" s="323">
        <v>2050</v>
      </c>
      <c r="F145" s="324">
        <v>2910</v>
      </c>
      <c r="G145" s="325">
        <v>7552</v>
      </c>
      <c r="H145" s="324">
        <v>10392</v>
      </c>
      <c r="I145" s="323"/>
      <c r="J145" s="324"/>
      <c r="K145" s="325"/>
      <c r="L145" s="324"/>
      <c r="M145" s="323"/>
      <c r="N145" s="324"/>
      <c r="O145" s="325"/>
      <c r="P145" s="324"/>
      <c r="Q145" s="323"/>
      <c r="R145" s="324"/>
      <c r="S145" s="325"/>
      <c r="T145" s="324"/>
      <c r="U145" s="323"/>
      <c r="V145" s="324"/>
      <c r="W145" s="325"/>
      <c r="X145" s="324"/>
      <c r="Y145" s="323"/>
      <c r="Z145" s="324"/>
      <c r="AA145" s="325"/>
      <c r="AB145" s="324"/>
      <c r="AC145" s="323"/>
      <c r="AD145" s="324"/>
      <c r="AE145" s="325"/>
      <c r="AF145" s="324"/>
      <c r="AG145" s="323"/>
      <c r="AH145" s="324"/>
      <c r="AI145" s="325"/>
      <c r="AJ145" s="324"/>
      <c r="AK145" s="323"/>
      <c r="AL145" s="324"/>
      <c r="AM145" s="325"/>
      <c r="AN145" s="324"/>
    </row>
    <row r="146" spans="1:40">
      <c r="A146" s="343" t="s">
        <v>645</v>
      </c>
      <c r="B146" s="230" t="s">
        <v>673</v>
      </c>
      <c r="C146" s="171">
        <v>138691</v>
      </c>
      <c r="D146" s="171">
        <v>9</v>
      </c>
      <c r="E146" s="323">
        <v>2392</v>
      </c>
      <c r="F146" s="324">
        <v>3042</v>
      </c>
      <c r="G146" s="325">
        <v>7894</v>
      </c>
      <c r="H146" s="324">
        <v>9920</v>
      </c>
      <c r="I146" s="323"/>
      <c r="J146" s="324"/>
      <c r="K146" s="325"/>
      <c r="L146" s="324"/>
      <c r="M146" s="323"/>
      <c r="N146" s="324"/>
      <c r="O146" s="325"/>
      <c r="P146" s="324"/>
      <c r="Q146" s="323"/>
      <c r="R146" s="324"/>
      <c r="S146" s="325"/>
      <c r="T146" s="324"/>
      <c r="U146" s="323"/>
      <c r="V146" s="324"/>
      <c r="W146" s="325"/>
      <c r="X146" s="324"/>
      <c r="Y146" s="323"/>
      <c r="Z146" s="324"/>
      <c r="AA146" s="325"/>
      <c r="AB146" s="324"/>
      <c r="AC146" s="323"/>
      <c r="AD146" s="324"/>
      <c r="AE146" s="325"/>
      <c r="AF146" s="324"/>
      <c r="AG146" s="323"/>
      <c r="AH146" s="324"/>
      <c r="AI146" s="325"/>
      <c r="AJ146" s="324"/>
      <c r="AK146" s="323"/>
      <c r="AL146" s="324"/>
      <c r="AM146" s="325"/>
      <c r="AN146" s="324"/>
    </row>
    <row r="147" spans="1:40">
      <c r="A147" s="343" t="s">
        <v>645</v>
      </c>
      <c r="B147" s="231" t="s">
        <v>674</v>
      </c>
      <c r="C147" s="171">
        <v>139773</v>
      </c>
      <c r="D147" s="171">
        <v>9</v>
      </c>
      <c r="E147" s="323">
        <v>2284</v>
      </c>
      <c r="F147" s="324">
        <v>2958</v>
      </c>
      <c r="G147" s="325">
        <v>8266</v>
      </c>
      <c r="H147" s="324">
        <v>10440</v>
      </c>
      <c r="I147" s="323"/>
      <c r="J147" s="324"/>
      <c r="K147" s="325"/>
      <c r="L147" s="324"/>
      <c r="M147" s="323"/>
      <c r="N147" s="324"/>
      <c r="O147" s="325"/>
      <c r="P147" s="324"/>
      <c r="Q147" s="323"/>
      <c r="R147" s="324"/>
      <c r="S147" s="323"/>
      <c r="T147" s="324"/>
      <c r="U147" s="323"/>
      <c r="V147" s="324"/>
      <c r="W147" s="325"/>
      <c r="X147" s="324"/>
      <c r="Y147" s="323"/>
      <c r="Z147" s="324"/>
      <c r="AA147" s="325"/>
      <c r="AB147" s="324"/>
      <c r="AC147" s="323"/>
      <c r="AD147" s="324"/>
      <c r="AE147" s="325"/>
      <c r="AF147" s="324"/>
      <c r="AG147" s="323"/>
      <c r="AH147" s="324"/>
      <c r="AI147" s="325"/>
      <c r="AJ147" s="324"/>
      <c r="AK147" s="323"/>
      <c r="AL147" s="324"/>
      <c r="AM147" s="325"/>
      <c r="AN147" s="324"/>
    </row>
    <row r="148" spans="1:40">
      <c r="A148" s="343" t="s">
        <v>645</v>
      </c>
      <c r="B148" s="132" t="s">
        <v>675</v>
      </c>
      <c r="C148" s="171">
        <v>139700</v>
      </c>
      <c r="D148" s="171">
        <v>9</v>
      </c>
      <c r="E148" s="323">
        <v>2056</v>
      </c>
      <c r="F148" s="324">
        <v>2682</v>
      </c>
      <c r="G148" s="325">
        <v>7558</v>
      </c>
      <c r="H148" s="324">
        <v>9560</v>
      </c>
      <c r="I148" s="323"/>
      <c r="J148" s="324"/>
      <c r="K148" s="325"/>
      <c r="L148" s="324"/>
      <c r="M148" s="323"/>
      <c r="N148" s="324"/>
      <c r="O148" s="325"/>
      <c r="P148" s="324"/>
      <c r="Q148" s="323"/>
      <c r="R148" s="324"/>
      <c r="S148" s="323"/>
      <c r="T148" s="324"/>
      <c r="U148" s="323"/>
      <c r="V148" s="324"/>
      <c r="W148" s="325"/>
      <c r="X148" s="324"/>
      <c r="Y148" s="323"/>
      <c r="Z148" s="324"/>
      <c r="AA148" s="325"/>
      <c r="AB148" s="324"/>
      <c r="AC148" s="323"/>
      <c r="AD148" s="324"/>
      <c r="AE148" s="325"/>
      <c r="AF148" s="324"/>
      <c r="AG148" s="323"/>
      <c r="AH148" s="324"/>
      <c r="AI148" s="325"/>
      <c r="AJ148" s="324"/>
      <c r="AK148" s="323"/>
      <c r="AL148" s="324"/>
      <c r="AM148" s="325"/>
      <c r="AN148" s="324"/>
    </row>
    <row r="149" spans="1:40">
      <c r="A149" s="343" t="s">
        <v>645</v>
      </c>
      <c r="B149" s="132" t="s">
        <v>676</v>
      </c>
      <c r="C149" s="171">
        <v>139968</v>
      </c>
      <c r="D149" s="171">
        <v>9</v>
      </c>
      <c r="E149" s="323">
        <v>2362</v>
      </c>
      <c r="F149" s="324">
        <v>3024</v>
      </c>
      <c r="G149" s="325">
        <v>8344</v>
      </c>
      <c r="H149" s="324">
        <v>10506</v>
      </c>
      <c r="I149" s="323"/>
      <c r="J149" s="324"/>
      <c r="K149" s="325"/>
      <c r="L149" s="324"/>
      <c r="M149" s="323"/>
      <c r="N149" s="324"/>
      <c r="O149" s="325"/>
      <c r="P149" s="324"/>
      <c r="Q149" s="323"/>
      <c r="R149" s="324"/>
      <c r="S149" s="323"/>
      <c r="T149" s="324"/>
      <c r="U149" s="323"/>
      <c r="V149" s="324"/>
      <c r="W149" s="325"/>
      <c r="X149" s="324"/>
      <c r="Y149" s="323"/>
      <c r="Z149" s="324"/>
      <c r="AA149" s="325"/>
      <c r="AB149" s="324"/>
      <c r="AC149" s="323"/>
      <c r="AD149" s="324"/>
      <c r="AE149" s="325"/>
      <c r="AF149" s="324"/>
      <c r="AG149" s="323"/>
      <c r="AH149" s="324"/>
      <c r="AI149" s="325"/>
      <c r="AJ149" s="324"/>
      <c r="AK149" s="323"/>
      <c r="AL149" s="324"/>
      <c r="AM149" s="325"/>
      <c r="AN149" s="324"/>
    </row>
    <row r="150" spans="1:40">
      <c r="A150" s="343" t="s">
        <v>645</v>
      </c>
      <c r="B150" s="208" t="s">
        <v>677</v>
      </c>
      <c r="C150" s="210">
        <v>140483</v>
      </c>
      <c r="D150" s="171">
        <v>9</v>
      </c>
      <c r="E150" s="323">
        <v>2418</v>
      </c>
      <c r="F150" s="324">
        <v>3068</v>
      </c>
      <c r="G150" s="325">
        <v>8400</v>
      </c>
      <c r="H150" s="324">
        <v>10550</v>
      </c>
      <c r="I150" s="323"/>
      <c r="J150" s="324"/>
      <c r="K150" s="325"/>
      <c r="L150" s="324"/>
      <c r="M150" s="323"/>
      <c r="N150" s="324"/>
      <c r="O150" s="325"/>
      <c r="P150" s="324"/>
      <c r="Q150" s="323"/>
      <c r="R150" s="324"/>
      <c r="S150" s="323"/>
      <c r="T150" s="324"/>
      <c r="U150" s="323"/>
      <c r="V150" s="324"/>
      <c r="W150" s="325"/>
      <c r="X150" s="324"/>
      <c r="Y150" s="323"/>
      <c r="Z150" s="324"/>
      <c r="AA150" s="325"/>
      <c r="AB150" s="324"/>
      <c r="AC150" s="323"/>
      <c r="AD150" s="324"/>
      <c r="AE150" s="325"/>
      <c r="AF150" s="324"/>
      <c r="AG150" s="323"/>
      <c r="AH150" s="324"/>
      <c r="AI150" s="325"/>
      <c r="AJ150" s="324"/>
      <c r="AK150" s="323"/>
      <c r="AL150" s="324"/>
      <c r="AM150" s="325"/>
      <c r="AN150" s="324"/>
    </row>
    <row r="151" spans="1:40">
      <c r="A151" s="343" t="s">
        <v>645</v>
      </c>
      <c r="B151" s="132" t="s">
        <v>678</v>
      </c>
      <c r="C151" s="171">
        <v>138901</v>
      </c>
      <c r="D151" s="171">
        <v>10</v>
      </c>
      <c r="E151" s="323">
        <v>2148</v>
      </c>
      <c r="F151" s="324">
        <v>2778</v>
      </c>
      <c r="G151" s="325">
        <v>7650</v>
      </c>
      <c r="H151" s="324">
        <v>9656</v>
      </c>
      <c r="I151" s="323"/>
      <c r="J151" s="324"/>
      <c r="K151" s="325"/>
      <c r="L151" s="324"/>
      <c r="M151" s="323"/>
      <c r="N151" s="324"/>
      <c r="O151" s="325"/>
      <c r="P151" s="324"/>
      <c r="Q151" s="323"/>
      <c r="R151" s="324"/>
      <c r="S151" s="323"/>
      <c r="T151" s="324"/>
      <c r="U151" s="323"/>
      <c r="V151" s="324"/>
      <c r="W151" s="325"/>
      <c r="X151" s="324"/>
      <c r="Y151" s="323"/>
      <c r="Z151" s="324"/>
      <c r="AA151" s="325"/>
      <c r="AB151" s="324"/>
      <c r="AC151" s="323"/>
      <c r="AD151" s="324"/>
      <c r="AE151" s="325"/>
      <c r="AF151" s="324"/>
      <c r="AG151" s="323"/>
      <c r="AH151" s="324"/>
      <c r="AI151" s="325"/>
      <c r="AJ151" s="324"/>
      <c r="AK151" s="323"/>
      <c r="AL151" s="324"/>
      <c r="AM151" s="325"/>
      <c r="AN151" s="324"/>
    </row>
    <row r="152" spans="1:40">
      <c r="A152" s="343" t="s">
        <v>645</v>
      </c>
      <c r="B152" s="132" t="s">
        <v>680</v>
      </c>
      <c r="C152" s="171">
        <v>139621</v>
      </c>
      <c r="D152" s="171">
        <v>10</v>
      </c>
      <c r="E152" s="323">
        <v>2010</v>
      </c>
      <c r="F152" s="324">
        <v>2770</v>
      </c>
      <c r="G152" s="325">
        <v>7512</v>
      </c>
      <c r="H152" s="324">
        <v>9648</v>
      </c>
      <c r="I152" s="323"/>
      <c r="J152" s="324"/>
      <c r="K152" s="325"/>
      <c r="L152" s="324"/>
      <c r="M152" s="323"/>
      <c r="N152" s="324"/>
      <c r="O152" s="325"/>
      <c r="P152" s="324"/>
      <c r="Q152" s="323"/>
      <c r="R152" s="324"/>
      <c r="S152" s="323"/>
      <c r="T152" s="324"/>
      <c r="U152" s="323"/>
      <c r="V152" s="324"/>
      <c r="W152" s="325"/>
      <c r="X152" s="324"/>
      <c r="Y152" s="323"/>
      <c r="Z152" s="324"/>
      <c r="AA152" s="325"/>
      <c r="AB152" s="324"/>
      <c r="AC152" s="323"/>
      <c r="AD152" s="324"/>
      <c r="AE152" s="325"/>
      <c r="AF152" s="324"/>
      <c r="AG152" s="323"/>
      <c r="AH152" s="324"/>
      <c r="AI152" s="325"/>
      <c r="AJ152" s="324"/>
      <c r="AK152" s="323"/>
      <c r="AL152" s="324"/>
      <c r="AM152" s="325"/>
      <c r="AN152" s="324"/>
    </row>
    <row r="153" spans="1:40">
      <c r="A153" s="343" t="s">
        <v>645</v>
      </c>
      <c r="B153" s="207" t="s">
        <v>681</v>
      </c>
      <c r="C153" s="171">
        <v>140997</v>
      </c>
      <c r="D153" s="171">
        <v>10</v>
      </c>
      <c r="E153" s="323">
        <v>2202</v>
      </c>
      <c r="F153" s="324">
        <v>2988</v>
      </c>
      <c r="G153" s="325">
        <v>7704</v>
      </c>
      <c r="H153" s="324">
        <v>9866</v>
      </c>
      <c r="I153" s="323"/>
      <c r="J153" s="324"/>
      <c r="K153" s="325"/>
      <c r="L153" s="324"/>
      <c r="M153" s="323"/>
      <c r="N153" s="324"/>
      <c r="O153" s="325"/>
      <c r="P153" s="324"/>
      <c r="Q153" s="323"/>
      <c r="R153" s="324"/>
      <c r="S153" s="323"/>
      <c r="T153" s="324"/>
      <c r="U153" s="323"/>
      <c r="V153" s="324"/>
      <c r="W153" s="325"/>
      <c r="X153" s="324"/>
      <c r="Y153" s="323"/>
      <c r="Z153" s="324"/>
      <c r="AA153" s="325"/>
      <c r="AB153" s="324"/>
      <c r="AC153" s="323"/>
      <c r="AD153" s="324"/>
      <c r="AE153" s="325"/>
      <c r="AF153" s="324"/>
      <c r="AG153" s="323"/>
      <c r="AH153" s="324"/>
      <c r="AI153" s="325"/>
      <c r="AJ153" s="324"/>
      <c r="AK153" s="323"/>
      <c r="AL153" s="324"/>
      <c r="AM153" s="325"/>
      <c r="AN153" s="324"/>
    </row>
    <row r="154" spans="1:40">
      <c r="A154" s="343" t="s">
        <v>645</v>
      </c>
      <c r="B154" s="207" t="s">
        <v>682</v>
      </c>
      <c r="C154" s="171">
        <v>141307</v>
      </c>
      <c r="D154" s="171">
        <v>10</v>
      </c>
      <c r="E154" s="323">
        <v>1992</v>
      </c>
      <c r="F154" s="324">
        <v>2722</v>
      </c>
      <c r="G154" s="325">
        <v>7494</v>
      </c>
      <c r="H154" s="324">
        <v>9600</v>
      </c>
      <c r="I154" s="323"/>
      <c r="J154" s="324"/>
      <c r="K154" s="325"/>
      <c r="L154" s="324"/>
      <c r="M154" s="323"/>
      <c r="N154" s="324"/>
      <c r="O154" s="325"/>
      <c r="P154" s="324"/>
      <c r="Q154" s="323"/>
      <c r="R154" s="324"/>
      <c r="S154" s="325"/>
      <c r="T154" s="324"/>
      <c r="U154" s="323"/>
      <c r="V154" s="324"/>
      <c r="W154" s="325"/>
      <c r="X154" s="324"/>
      <c r="Y154" s="323"/>
      <c r="Z154" s="324"/>
      <c r="AA154" s="325"/>
      <c r="AB154" s="324"/>
      <c r="AC154" s="323"/>
      <c r="AD154" s="324"/>
      <c r="AE154" s="325"/>
      <c r="AF154" s="324"/>
      <c r="AG154" s="323"/>
      <c r="AH154" s="324"/>
      <c r="AI154" s="325"/>
      <c r="AJ154" s="324"/>
      <c r="AK154" s="323"/>
      <c r="AL154" s="324"/>
      <c r="AM154" s="325"/>
      <c r="AN154" s="324"/>
    </row>
    <row r="155" spans="1:40">
      <c r="A155" s="171" t="s">
        <v>645</v>
      </c>
      <c r="B155" s="132" t="s">
        <v>668</v>
      </c>
      <c r="C155" s="209">
        <v>447689</v>
      </c>
      <c r="D155" s="344">
        <v>15</v>
      </c>
      <c r="E155" s="323">
        <v>3100</v>
      </c>
      <c r="F155" s="337">
        <v>4030</v>
      </c>
      <c r="G155" s="325">
        <v>10300</v>
      </c>
      <c r="H155" s="337">
        <v>13030</v>
      </c>
      <c r="I155" s="323"/>
      <c r="J155" s="324"/>
      <c r="K155" s="325"/>
      <c r="L155" s="324"/>
      <c r="M155" s="323"/>
      <c r="N155" s="324"/>
      <c r="O155" s="325"/>
      <c r="P155" s="324"/>
      <c r="Q155" s="323"/>
      <c r="R155" s="324"/>
      <c r="S155" s="325"/>
      <c r="T155" s="324"/>
      <c r="U155" s="323"/>
      <c r="V155" s="324"/>
      <c r="W155" s="325"/>
      <c r="X155" s="324"/>
      <c r="Y155" s="323"/>
      <c r="Z155" s="324"/>
      <c r="AA155" s="325"/>
      <c r="AB155" s="324"/>
      <c r="AC155" s="323"/>
      <c r="AD155" s="324"/>
      <c r="AE155" s="325"/>
      <c r="AF155" s="324"/>
      <c r="AG155" s="323"/>
      <c r="AH155" s="324"/>
      <c r="AI155" s="325"/>
      <c r="AJ155" s="324"/>
      <c r="AK155" s="323"/>
      <c r="AL155" s="324"/>
      <c r="AM155" s="325"/>
      <c r="AN155" s="324"/>
    </row>
    <row r="156" spans="1:40">
      <c r="A156" s="171" t="s">
        <v>645</v>
      </c>
      <c r="B156" s="207" t="s">
        <v>683</v>
      </c>
      <c r="C156" s="171">
        <v>140401</v>
      </c>
      <c r="D156" s="171">
        <v>15</v>
      </c>
      <c r="E156" s="323">
        <v>5568</v>
      </c>
      <c r="F156" s="337">
        <v>7082</v>
      </c>
      <c r="G156" s="325">
        <v>20136</v>
      </c>
      <c r="H156" s="337">
        <v>25292</v>
      </c>
      <c r="I156" s="323">
        <v>6262</v>
      </c>
      <c r="J156" s="324">
        <v>7118</v>
      </c>
      <c r="K156" s="325">
        <v>20884</v>
      </c>
      <c r="L156" s="324">
        <v>21184</v>
      </c>
      <c r="M156" s="323"/>
      <c r="N156" s="324"/>
      <c r="O156" s="325"/>
      <c r="P156" s="324"/>
      <c r="Q156" s="323">
        <v>15604</v>
      </c>
      <c r="R156" s="324">
        <f>(8563*2)+(456*2)+100</f>
        <v>18138</v>
      </c>
      <c r="S156" s="325">
        <v>15604</v>
      </c>
      <c r="T156" s="324">
        <f>(15488*2)+(456*2)+100</f>
        <v>31988</v>
      </c>
      <c r="U156" s="323">
        <v>11646</v>
      </c>
      <c r="V156" s="324">
        <f>(6287*2)+(456*2)+100</f>
        <v>13586</v>
      </c>
      <c r="W156" s="325">
        <v>40436</v>
      </c>
      <c r="X156" s="324">
        <f>(19862*2)+(456*2)+100</f>
        <v>40736</v>
      </c>
      <c r="Y156" s="323"/>
      <c r="Z156" s="324"/>
      <c r="AA156" s="325"/>
      <c r="AB156" s="324"/>
      <c r="AC156" s="323"/>
      <c r="AD156" s="324"/>
      <c r="AE156" s="325"/>
      <c r="AF156" s="324"/>
      <c r="AG156" s="323"/>
      <c r="AH156" s="324"/>
      <c r="AI156" s="325"/>
      <c r="AJ156" s="324"/>
      <c r="AK156" s="323"/>
      <c r="AL156" s="324"/>
      <c r="AM156" s="325"/>
      <c r="AN156" s="324"/>
    </row>
    <row r="157" spans="1:40">
      <c r="A157" s="171" t="s">
        <v>645</v>
      </c>
      <c r="B157" s="207" t="s">
        <v>684</v>
      </c>
      <c r="C157" s="171">
        <v>141097</v>
      </c>
      <c r="D157" s="171">
        <v>15</v>
      </c>
      <c r="E157" s="323">
        <v>4232</v>
      </c>
      <c r="F157" s="337">
        <v>5474</v>
      </c>
      <c r="G157" s="325">
        <v>14728</v>
      </c>
      <c r="H157" s="337">
        <v>18594</v>
      </c>
      <c r="I157" s="323">
        <v>4850</v>
      </c>
      <c r="J157" s="324">
        <v>5422</v>
      </c>
      <c r="K157" s="325">
        <v>17212</v>
      </c>
      <c r="L157" s="324">
        <v>18404</v>
      </c>
      <c r="M157" s="323"/>
      <c r="N157" s="324"/>
      <c r="O157" s="325"/>
      <c r="P157" s="324"/>
      <c r="Q157" s="323"/>
      <c r="R157" s="324"/>
      <c r="S157" s="325"/>
      <c r="T157" s="324"/>
      <c r="U157" s="323"/>
      <c r="V157" s="324"/>
      <c r="W157" s="325"/>
      <c r="X157" s="324"/>
      <c r="Y157" s="323"/>
      <c r="Z157" s="324"/>
      <c r="AA157" s="325"/>
      <c r="AB157" s="324"/>
      <c r="AC157" s="323"/>
      <c r="AD157" s="324"/>
      <c r="AE157" s="325"/>
      <c r="AF157" s="324"/>
      <c r="AG157" s="323"/>
      <c r="AH157" s="324"/>
      <c r="AI157" s="325"/>
      <c r="AJ157" s="324"/>
      <c r="AK157" s="323"/>
      <c r="AL157" s="324"/>
      <c r="AM157" s="325"/>
      <c r="AN157" s="324"/>
    </row>
    <row r="158" spans="1:40">
      <c r="A158" s="156" t="s">
        <v>645</v>
      </c>
      <c r="B158" s="155" t="s">
        <v>310</v>
      </c>
      <c r="C158" s="156">
        <v>138682</v>
      </c>
      <c r="D158" s="345">
        <v>12</v>
      </c>
      <c r="E158" s="323">
        <v>1539</v>
      </c>
      <c r="F158" s="337">
        <v>2043</v>
      </c>
      <c r="G158" s="325">
        <v>2835</v>
      </c>
      <c r="H158" s="337">
        <v>3843</v>
      </c>
      <c r="I158" s="323"/>
      <c r="J158" s="324"/>
      <c r="K158" s="325"/>
      <c r="L158" s="324"/>
      <c r="M158" s="323"/>
      <c r="N158" s="324"/>
      <c r="O158" s="325"/>
      <c r="P158" s="324"/>
      <c r="Q158" s="323"/>
      <c r="R158" s="324"/>
      <c r="S158" s="325"/>
      <c r="T158" s="324"/>
      <c r="U158" s="323"/>
      <c r="V158" s="324"/>
      <c r="W158" s="325"/>
      <c r="X158" s="324"/>
      <c r="Y158" s="323"/>
      <c r="Z158" s="324"/>
      <c r="AA158" s="325"/>
      <c r="AB158" s="324"/>
      <c r="AC158" s="323"/>
      <c r="AD158" s="324"/>
      <c r="AE158" s="325"/>
      <c r="AF158" s="324"/>
      <c r="AG158" s="323"/>
      <c r="AH158" s="324"/>
      <c r="AI158" s="325"/>
      <c r="AJ158" s="324"/>
      <c r="AK158" s="323"/>
      <c r="AL158" s="324"/>
      <c r="AM158" s="325"/>
      <c r="AN158" s="324"/>
    </row>
    <row r="159" spans="1:40">
      <c r="A159" s="156" t="s">
        <v>645</v>
      </c>
      <c r="B159" s="155" t="s">
        <v>312</v>
      </c>
      <c r="C159" s="156">
        <v>246813</v>
      </c>
      <c r="D159" s="345">
        <v>12</v>
      </c>
      <c r="E159" s="323">
        <v>1539</v>
      </c>
      <c r="F159" s="337">
        <v>2043</v>
      </c>
      <c r="G159" s="325">
        <v>2835</v>
      </c>
      <c r="H159" s="337">
        <v>3843</v>
      </c>
      <c r="I159" s="323"/>
      <c r="J159" s="324"/>
      <c r="K159" s="325"/>
      <c r="L159" s="324"/>
      <c r="M159" s="323"/>
      <c r="N159" s="324"/>
      <c r="O159" s="325"/>
      <c r="P159" s="324"/>
      <c r="Q159" s="323"/>
      <c r="R159" s="324"/>
      <c r="S159" s="325"/>
      <c r="T159" s="324"/>
      <c r="U159" s="323"/>
      <c r="V159" s="324"/>
      <c r="W159" s="325"/>
      <c r="X159" s="324"/>
      <c r="Y159" s="323"/>
      <c r="Z159" s="324"/>
      <c r="AA159" s="325"/>
      <c r="AB159" s="324"/>
      <c r="AC159" s="323"/>
      <c r="AD159" s="324"/>
      <c r="AE159" s="325"/>
      <c r="AF159" s="324"/>
      <c r="AG159" s="323"/>
      <c r="AH159" s="324"/>
      <c r="AI159" s="325"/>
      <c r="AJ159" s="324"/>
      <c r="AK159" s="323"/>
      <c r="AL159" s="324"/>
      <c r="AM159" s="325"/>
      <c r="AN159" s="324"/>
    </row>
    <row r="160" spans="1:40">
      <c r="A160" s="156" t="s">
        <v>645</v>
      </c>
      <c r="B160" s="155" t="s">
        <v>313</v>
      </c>
      <c r="C160" s="156">
        <v>138840</v>
      </c>
      <c r="D160" s="345">
        <v>12</v>
      </c>
      <c r="E160" s="323">
        <v>1542</v>
      </c>
      <c r="F160" s="337">
        <v>2046</v>
      </c>
      <c r="G160" s="325">
        <v>2838</v>
      </c>
      <c r="H160" s="337">
        <v>3846</v>
      </c>
      <c r="I160" s="323"/>
      <c r="J160" s="324"/>
      <c r="K160" s="325"/>
      <c r="L160" s="324"/>
      <c r="M160" s="323"/>
      <c r="N160" s="324"/>
      <c r="O160" s="325"/>
      <c r="P160" s="324"/>
      <c r="Q160" s="323"/>
      <c r="R160" s="324"/>
      <c r="S160" s="325"/>
      <c r="T160" s="324"/>
      <c r="U160" s="323"/>
      <c r="V160" s="324"/>
      <c r="W160" s="325"/>
      <c r="X160" s="324"/>
      <c r="Y160" s="323"/>
      <c r="Z160" s="324"/>
      <c r="AA160" s="325"/>
      <c r="AB160" s="324"/>
      <c r="AC160" s="323"/>
      <c r="AD160" s="324"/>
      <c r="AE160" s="325"/>
      <c r="AF160" s="324"/>
      <c r="AG160" s="323"/>
      <c r="AH160" s="324"/>
      <c r="AI160" s="325"/>
      <c r="AJ160" s="324"/>
      <c r="AK160" s="323"/>
      <c r="AL160" s="324"/>
      <c r="AM160" s="325"/>
      <c r="AN160" s="324"/>
    </row>
    <row r="161" spans="1:40">
      <c r="A161" s="570" t="s">
        <v>645</v>
      </c>
      <c r="B161" s="155" t="s">
        <v>314</v>
      </c>
      <c r="C161" s="156">
        <v>138956</v>
      </c>
      <c r="D161" s="345">
        <v>12</v>
      </c>
      <c r="E161" s="323">
        <v>1551</v>
      </c>
      <c r="F161" s="324">
        <v>2055</v>
      </c>
      <c r="G161" s="325">
        <v>2847</v>
      </c>
      <c r="H161" s="324">
        <v>3855</v>
      </c>
      <c r="I161" s="323"/>
      <c r="J161" s="324"/>
      <c r="K161" s="325"/>
      <c r="L161" s="324"/>
      <c r="M161" s="323"/>
      <c r="N161" s="324"/>
      <c r="O161" s="325"/>
      <c r="P161" s="324"/>
      <c r="Q161" s="323"/>
      <c r="R161" s="324"/>
      <c r="S161" s="325"/>
      <c r="T161" s="324"/>
      <c r="U161" s="323"/>
      <c r="V161" s="324"/>
      <c r="W161" s="325"/>
      <c r="X161" s="324"/>
      <c r="Y161" s="323"/>
      <c r="Z161" s="324"/>
      <c r="AA161" s="325"/>
      <c r="AB161" s="324"/>
      <c r="AC161" s="323"/>
      <c r="AD161" s="324"/>
      <c r="AE161" s="325"/>
      <c r="AF161" s="324"/>
      <c r="AG161" s="323"/>
      <c r="AH161" s="324"/>
      <c r="AI161" s="325"/>
      <c r="AJ161" s="324"/>
      <c r="AK161" s="323"/>
      <c r="AL161" s="324"/>
      <c r="AM161" s="325"/>
      <c r="AN161" s="324"/>
    </row>
    <row r="162" spans="1:40">
      <c r="A162" s="570" t="s">
        <v>645</v>
      </c>
      <c r="B162" s="155" t="s">
        <v>498</v>
      </c>
      <c r="C162" s="156">
        <v>140304</v>
      </c>
      <c r="D162" s="345">
        <v>12</v>
      </c>
      <c r="E162" s="323">
        <v>1539</v>
      </c>
      <c r="F162" s="324">
        <v>2043</v>
      </c>
      <c r="G162" s="325">
        <v>2835</v>
      </c>
      <c r="H162" s="324">
        <v>3843</v>
      </c>
      <c r="I162" s="323"/>
      <c r="J162" s="324"/>
      <c r="K162" s="325"/>
      <c r="L162" s="324"/>
      <c r="M162" s="323"/>
      <c r="N162" s="324"/>
      <c r="O162" s="325"/>
      <c r="P162" s="324"/>
      <c r="Q162" s="323"/>
      <c r="R162" s="324"/>
      <c r="S162" s="325"/>
      <c r="T162" s="324"/>
      <c r="U162" s="323"/>
      <c r="V162" s="324"/>
      <c r="W162" s="325"/>
      <c r="X162" s="324"/>
      <c r="Y162" s="323"/>
      <c r="Z162" s="324"/>
      <c r="AA162" s="325"/>
      <c r="AB162" s="324"/>
      <c r="AC162" s="323"/>
      <c r="AD162" s="324"/>
      <c r="AE162" s="325"/>
      <c r="AF162" s="324"/>
      <c r="AG162" s="323"/>
      <c r="AH162" s="324"/>
      <c r="AI162" s="325"/>
      <c r="AJ162" s="324"/>
      <c r="AK162" s="323"/>
      <c r="AL162" s="324"/>
      <c r="AM162" s="325"/>
      <c r="AN162" s="324"/>
    </row>
    <row r="163" spans="1:40">
      <c r="A163" s="156" t="s">
        <v>645</v>
      </c>
      <c r="B163" s="155" t="s">
        <v>499</v>
      </c>
      <c r="C163" s="156">
        <v>140331</v>
      </c>
      <c r="D163" s="345">
        <v>12</v>
      </c>
      <c r="E163" s="323">
        <v>1560</v>
      </c>
      <c r="F163" s="324">
        <v>2192</v>
      </c>
      <c r="G163" s="325">
        <v>2856</v>
      </c>
      <c r="H163" s="324">
        <v>3992</v>
      </c>
      <c r="I163" s="323"/>
      <c r="J163" s="324"/>
      <c r="K163" s="325"/>
      <c r="L163" s="324"/>
      <c r="M163" s="323"/>
      <c r="N163" s="324"/>
      <c r="O163" s="325"/>
      <c r="P163" s="324"/>
      <c r="Q163" s="323"/>
      <c r="R163" s="324"/>
      <c r="S163" s="325"/>
      <c r="T163" s="324"/>
      <c r="U163" s="323"/>
      <c r="V163" s="324"/>
      <c r="W163" s="325"/>
      <c r="X163" s="324"/>
      <c r="Y163" s="323"/>
      <c r="Z163" s="324"/>
      <c r="AA163" s="325"/>
      <c r="AB163" s="324"/>
      <c r="AC163" s="323"/>
      <c r="AD163" s="324"/>
      <c r="AE163" s="325"/>
      <c r="AF163" s="324"/>
      <c r="AG163" s="323"/>
      <c r="AH163" s="324"/>
      <c r="AI163" s="325"/>
      <c r="AJ163" s="324"/>
      <c r="AK163" s="323"/>
      <c r="AL163" s="324"/>
      <c r="AM163" s="325"/>
      <c r="AN163" s="324"/>
    </row>
    <row r="164" spans="1:40">
      <c r="A164" s="156" t="s">
        <v>645</v>
      </c>
      <c r="B164" s="155" t="s">
        <v>500</v>
      </c>
      <c r="C164" s="156">
        <v>139357</v>
      </c>
      <c r="D164" s="345">
        <v>12</v>
      </c>
      <c r="E164" s="323">
        <v>1539</v>
      </c>
      <c r="F164" s="324">
        <v>2031</v>
      </c>
      <c r="G164" s="325">
        <v>2835</v>
      </c>
      <c r="H164" s="324">
        <v>3831</v>
      </c>
      <c r="I164" s="323"/>
      <c r="J164" s="324"/>
      <c r="K164" s="325"/>
      <c r="L164" s="324"/>
      <c r="M164" s="323"/>
      <c r="N164" s="324"/>
      <c r="O164" s="325"/>
      <c r="P164" s="324"/>
      <c r="Q164" s="323"/>
      <c r="R164" s="324"/>
      <c r="S164" s="325"/>
      <c r="T164" s="324"/>
      <c r="U164" s="323"/>
      <c r="V164" s="324"/>
      <c r="W164" s="325"/>
      <c r="X164" s="324"/>
      <c r="Y164" s="323"/>
      <c r="Z164" s="324"/>
      <c r="AA164" s="325"/>
      <c r="AB164" s="324"/>
      <c r="AC164" s="323"/>
      <c r="AD164" s="324"/>
      <c r="AE164" s="325"/>
      <c r="AF164" s="324"/>
      <c r="AG164" s="323"/>
      <c r="AH164" s="324"/>
      <c r="AI164" s="325"/>
      <c r="AJ164" s="324"/>
      <c r="AK164" s="323"/>
      <c r="AL164" s="324"/>
      <c r="AM164" s="325"/>
      <c r="AN164" s="324"/>
    </row>
    <row r="165" spans="1:40">
      <c r="A165" s="156" t="s">
        <v>645</v>
      </c>
      <c r="B165" s="155" t="s">
        <v>501</v>
      </c>
      <c r="C165" s="156">
        <v>244446</v>
      </c>
      <c r="D165" s="345">
        <v>12</v>
      </c>
      <c r="E165" s="323">
        <v>1701</v>
      </c>
      <c r="F165" s="324">
        <v>2211</v>
      </c>
      <c r="G165" s="325">
        <v>2997</v>
      </c>
      <c r="H165" s="324">
        <v>4011</v>
      </c>
      <c r="I165" s="323"/>
      <c r="J165" s="324"/>
      <c r="K165" s="325"/>
      <c r="L165" s="324"/>
      <c r="M165" s="323"/>
      <c r="N165" s="324"/>
      <c r="O165" s="325"/>
      <c r="P165" s="324"/>
      <c r="Q165" s="323"/>
      <c r="R165" s="324"/>
      <c r="S165" s="325"/>
      <c r="T165" s="324"/>
      <c r="U165" s="323"/>
      <c r="V165" s="324"/>
      <c r="W165" s="325"/>
      <c r="X165" s="324"/>
      <c r="Y165" s="323"/>
      <c r="Z165" s="324"/>
      <c r="AA165" s="325"/>
      <c r="AB165" s="324"/>
      <c r="AC165" s="323"/>
      <c r="AD165" s="324"/>
      <c r="AE165" s="325"/>
      <c r="AF165" s="324"/>
      <c r="AG165" s="323"/>
      <c r="AH165" s="324"/>
      <c r="AI165" s="325"/>
      <c r="AJ165" s="324"/>
      <c r="AK165" s="323"/>
      <c r="AL165" s="324"/>
      <c r="AM165" s="325"/>
      <c r="AN165" s="324"/>
    </row>
    <row r="166" spans="1:40">
      <c r="A166" s="156" t="s">
        <v>645</v>
      </c>
      <c r="B166" s="155" t="s">
        <v>502</v>
      </c>
      <c r="C166" s="156">
        <v>139126</v>
      </c>
      <c r="D166" s="345">
        <v>12</v>
      </c>
      <c r="E166" s="323">
        <v>1560</v>
      </c>
      <c r="F166" s="324">
        <v>2064</v>
      </c>
      <c r="G166" s="325">
        <v>2856</v>
      </c>
      <c r="H166" s="324">
        <v>3864</v>
      </c>
      <c r="I166" s="323"/>
      <c r="J166" s="324"/>
      <c r="K166" s="325"/>
      <c r="L166" s="324"/>
      <c r="M166" s="323"/>
      <c r="N166" s="324"/>
      <c r="O166" s="325"/>
      <c r="P166" s="324"/>
      <c r="Q166" s="323"/>
      <c r="R166" s="324"/>
      <c r="S166" s="325"/>
      <c r="T166" s="324"/>
      <c r="U166" s="323"/>
      <c r="V166" s="324"/>
      <c r="W166" s="325"/>
      <c r="X166" s="324"/>
      <c r="Y166" s="323"/>
      <c r="Z166" s="324"/>
      <c r="AA166" s="325"/>
      <c r="AB166" s="324"/>
      <c r="AC166" s="323"/>
      <c r="AD166" s="324"/>
      <c r="AE166" s="325"/>
      <c r="AF166" s="324"/>
      <c r="AG166" s="323"/>
      <c r="AH166" s="324"/>
      <c r="AI166" s="325"/>
      <c r="AJ166" s="324"/>
      <c r="AK166" s="323"/>
      <c r="AL166" s="324"/>
      <c r="AM166" s="325"/>
      <c r="AN166" s="324"/>
    </row>
    <row r="167" spans="1:40">
      <c r="A167" s="156" t="s">
        <v>645</v>
      </c>
      <c r="B167" s="155" t="s">
        <v>1048</v>
      </c>
      <c r="C167" s="156">
        <v>139384</v>
      </c>
      <c r="D167" s="345">
        <v>12</v>
      </c>
      <c r="E167" s="323">
        <v>1539</v>
      </c>
      <c r="F167" s="324">
        <v>2043</v>
      </c>
      <c r="G167" s="325">
        <v>2835</v>
      </c>
      <c r="H167" s="324">
        <v>3843</v>
      </c>
      <c r="I167" s="323"/>
      <c r="J167" s="324"/>
      <c r="K167" s="325"/>
      <c r="L167" s="324"/>
      <c r="M167" s="323"/>
      <c r="N167" s="324"/>
      <c r="O167" s="325"/>
      <c r="P167" s="324"/>
      <c r="Q167" s="323"/>
      <c r="R167" s="324"/>
      <c r="S167" s="325"/>
      <c r="T167" s="324"/>
      <c r="U167" s="323"/>
      <c r="V167" s="324"/>
      <c r="W167" s="325"/>
      <c r="X167" s="324"/>
      <c r="Y167" s="323"/>
      <c r="Z167" s="324"/>
      <c r="AA167" s="325"/>
      <c r="AB167" s="324"/>
      <c r="AC167" s="323"/>
      <c r="AD167" s="324"/>
      <c r="AE167" s="325"/>
      <c r="AF167" s="324"/>
      <c r="AG167" s="323"/>
      <c r="AH167" s="324"/>
      <c r="AI167" s="325"/>
      <c r="AJ167" s="324"/>
      <c r="AK167" s="323"/>
      <c r="AL167" s="324"/>
      <c r="AM167" s="325"/>
      <c r="AN167" s="324"/>
    </row>
    <row r="168" spans="1:40">
      <c r="A168" s="156" t="s">
        <v>645</v>
      </c>
      <c r="B168" s="155" t="s">
        <v>504</v>
      </c>
      <c r="C168" s="156">
        <v>139986</v>
      </c>
      <c r="D168" s="345">
        <v>12</v>
      </c>
      <c r="E168" s="323">
        <v>1539</v>
      </c>
      <c r="F168" s="324">
        <v>2043</v>
      </c>
      <c r="G168" s="325">
        <v>2835</v>
      </c>
      <c r="H168" s="324">
        <v>3843</v>
      </c>
      <c r="I168" s="323"/>
      <c r="J168" s="324"/>
      <c r="K168" s="325"/>
      <c r="L168" s="324"/>
      <c r="M168" s="323"/>
      <c r="N168" s="324"/>
      <c r="O168" s="325"/>
      <c r="P168" s="324"/>
      <c r="Q168" s="323"/>
      <c r="R168" s="324"/>
      <c r="S168" s="325"/>
      <c r="T168" s="324"/>
      <c r="U168" s="323"/>
      <c r="V168" s="324"/>
      <c r="W168" s="325"/>
      <c r="X168" s="324"/>
      <c r="Y168" s="323"/>
      <c r="Z168" s="324"/>
      <c r="AA168" s="325"/>
      <c r="AB168" s="324"/>
      <c r="AC168" s="323"/>
      <c r="AD168" s="324"/>
      <c r="AE168" s="325"/>
      <c r="AF168" s="324"/>
      <c r="AG168" s="323"/>
      <c r="AH168" s="324"/>
      <c r="AI168" s="325"/>
      <c r="AJ168" s="324"/>
      <c r="AK168" s="323"/>
      <c r="AL168" s="324"/>
      <c r="AM168" s="325"/>
      <c r="AN168" s="324"/>
    </row>
    <row r="169" spans="1:40">
      <c r="A169" s="156" t="s">
        <v>645</v>
      </c>
      <c r="B169" s="155" t="s">
        <v>505</v>
      </c>
      <c r="C169" s="156">
        <v>140012</v>
      </c>
      <c r="D169" s="345">
        <v>12</v>
      </c>
      <c r="E169" s="323">
        <v>1695</v>
      </c>
      <c r="F169" s="324">
        <v>2229</v>
      </c>
      <c r="G169" s="325">
        <v>2991</v>
      </c>
      <c r="H169" s="324">
        <v>4029</v>
      </c>
      <c r="I169" s="323"/>
      <c r="J169" s="324"/>
      <c r="K169" s="325"/>
      <c r="L169" s="324"/>
      <c r="M169" s="323"/>
      <c r="N169" s="324"/>
      <c r="O169" s="325"/>
      <c r="P169" s="324"/>
      <c r="Q169" s="323"/>
      <c r="R169" s="324"/>
      <c r="S169" s="325"/>
      <c r="T169" s="324"/>
      <c r="U169" s="323"/>
      <c r="V169" s="324"/>
      <c r="W169" s="325"/>
      <c r="X169" s="324"/>
      <c r="Y169" s="323"/>
      <c r="Z169" s="324"/>
      <c r="AA169" s="325"/>
      <c r="AB169" s="324"/>
      <c r="AC169" s="323"/>
      <c r="AD169" s="324"/>
      <c r="AE169" s="325"/>
      <c r="AF169" s="324"/>
      <c r="AG169" s="323"/>
      <c r="AH169" s="324"/>
      <c r="AI169" s="325"/>
      <c r="AJ169" s="324"/>
      <c r="AK169" s="323"/>
      <c r="AL169" s="324"/>
      <c r="AM169" s="325"/>
      <c r="AN169" s="324"/>
    </row>
    <row r="170" spans="1:40">
      <c r="A170" s="156" t="s">
        <v>645</v>
      </c>
      <c r="B170" s="155" t="s">
        <v>506</v>
      </c>
      <c r="C170" s="156">
        <v>140076</v>
      </c>
      <c r="D170" s="345">
        <v>12</v>
      </c>
      <c r="E170" s="323">
        <v>1551</v>
      </c>
      <c r="F170" s="324">
        <v>2055</v>
      </c>
      <c r="G170" s="325">
        <v>2847</v>
      </c>
      <c r="H170" s="324">
        <v>3855</v>
      </c>
      <c r="I170" s="323"/>
      <c r="J170" s="324"/>
      <c r="K170" s="325"/>
      <c r="L170" s="324"/>
      <c r="M170" s="323"/>
      <c r="N170" s="324"/>
      <c r="O170" s="325"/>
      <c r="P170" s="324"/>
      <c r="Q170" s="323"/>
      <c r="R170" s="324"/>
      <c r="S170" s="325"/>
      <c r="T170" s="324"/>
      <c r="U170" s="323"/>
      <c r="V170" s="324"/>
      <c r="W170" s="325"/>
      <c r="X170" s="324"/>
      <c r="Y170" s="323"/>
      <c r="Z170" s="324"/>
      <c r="AA170" s="325"/>
      <c r="AB170" s="324"/>
      <c r="AC170" s="323"/>
      <c r="AD170" s="324"/>
      <c r="AE170" s="325"/>
      <c r="AF170" s="324"/>
      <c r="AG170" s="323"/>
      <c r="AH170" s="324"/>
      <c r="AI170" s="325"/>
      <c r="AJ170" s="324"/>
      <c r="AK170" s="323"/>
      <c r="AL170" s="324"/>
      <c r="AM170" s="325"/>
      <c r="AN170" s="324"/>
    </row>
    <row r="171" spans="1:40">
      <c r="A171" s="156" t="s">
        <v>645</v>
      </c>
      <c r="B171" s="155" t="s">
        <v>507</v>
      </c>
      <c r="C171" s="156">
        <v>140243</v>
      </c>
      <c r="D171" s="345">
        <v>12</v>
      </c>
      <c r="E171" s="323">
        <v>1566</v>
      </c>
      <c r="F171" s="324">
        <v>2070</v>
      </c>
      <c r="G171" s="325">
        <v>2862</v>
      </c>
      <c r="H171" s="324">
        <v>3870</v>
      </c>
      <c r="I171" s="323"/>
      <c r="J171" s="324"/>
      <c r="K171" s="325"/>
      <c r="L171" s="324"/>
      <c r="M171" s="323"/>
      <c r="N171" s="324"/>
      <c r="O171" s="325"/>
      <c r="P171" s="324"/>
      <c r="Q171" s="323"/>
      <c r="R171" s="324"/>
      <c r="S171" s="325"/>
      <c r="T171" s="324"/>
      <c r="U171" s="323"/>
      <c r="V171" s="324"/>
      <c r="W171" s="325"/>
      <c r="X171" s="324"/>
      <c r="Y171" s="323"/>
      <c r="Z171" s="324"/>
      <c r="AA171" s="325"/>
      <c r="AB171" s="324"/>
      <c r="AC171" s="323"/>
      <c r="AD171" s="324"/>
      <c r="AE171" s="325"/>
      <c r="AF171" s="324"/>
      <c r="AG171" s="323"/>
      <c r="AH171" s="324"/>
      <c r="AI171" s="325"/>
      <c r="AJ171" s="324"/>
      <c r="AK171" s="323"/>
      <c r="AL171" s="324"/>
      <c r="AM171" s="325"/>
      <c r="AN171" s="324"/>
    </row>
    <row r="172" spans="1:40">
      <c r="A172" s="156" t="s">
        <v>645</v>
      </c>
      <c r="B172" s="155" t="s">
        <v>508</v>
      </c>
      <c r="C172" s="156">
        <v>140085</v>
      </c>
      <c r="D172" s="345">
        <v>12</v>
      </c>
      <c r="E172" s="323">
        <v>1539</v>
      </c>
      <c r="F172" s="324">
        <v>2043</v>
      </c>
      <c r="G172" s="325">
        <v>2835</v>
      </c>
      <c r="H172" s="324">
        <v>3843</v>
      </c>
      <c r="I172" s="323"/>
      <c r="J172" s="324"/>
      <c r="K172" s="325"/>
      <c r="L172" s="324"/>
      <c r="M172" s="323"/>
      <c r="N172" s="324"/>
      <c r="O172" s="325"/>
      <c r="P172" s="324"/>
      <c r="Q172" s="323"/>
      <c r="R172" s="324"/>
      <c r="S172" s="325"/>
      <c r="T172" s="324"/>
      <c r="U172" s="323"/>
      <c r="V172" s="324"/>
      <c r="W172" s="325"/>
      <c r="X172" s="324"/>
      <c r="Y172" s="323"/>
      <c r="Z172" s="324"/>
      <c r="AA172" s="325"/>
      <c r="AB172" s="324"/>
      <c r="AC172" s="323"/>
      <c r="AD172" s="324"/>
      <c r="AE172" s="325"/>
      <c r="AF172" s="324"/>
      <c r="AG172" s="323"/>
      <c r="AH172" s="324"/>
      <c r="AI172" s="325"/>
      <c r="AJ172" s="324"/>
      <c r="AK172" s="323"/>
      <c r="AL172" s="324"/>
      <c r="AM172" s="325"/>
      <c r="AN172" s="324"/>
    </row>
    <row r="173" spans="1:40">
      <c r="A173" s="156" t="s">
        <v>645</v>
      </c>
      <c r="B173" s="155" t="s">
        <v>509</v>
      </c>
      <c r="C173" s="156">
        <v>140599</v>
      </c>
      <c r="D173" s="345">
        <v>12</v>
      </c>
      <c r="E173" s="323">
        <v>1539</v>
      </c>
      <c r="F173" s="324">
        <v>2043</v>
      </c>
      <c r="G173" s="325">
        <v>2835</v>
      </c>
      <c r="H173" s="324">
        <v>3843</v>
      </c>
      <c r="I173" s="323"/>
      <c r="J173" s="324"/>
      <c r="K173" s="325"/>
      <c r="L173" s="324"/>
      <c r="M173" s="323"/>
      <c r="N173" s="324"/>
      <c r="O173" s="325"/>
      <c r="P173" s="324"/>
      <c r="Q173" s="323"/>
      <c r="R173" s="324"/>
      <c r="S173" s="325"/>
      <c r="T173" s="324"/>
      <c r="U173" s="323"/>
      <c r="V173" s="324"/>
      <c r="W173" s="325"/>
      <c r="X173" s="324"/>
      <c r="Y173" s="323"/>
      <c r="Z173" s="324"/>
      <c r="AA173" s="325"/>
      <c r="AB173" s="324"/>
      <c r="AC173" s="323"/>
      <c r="AD173" s="324"/>
      <c r="AE173" s="325"/>
      <c r="AF173" s="324"/>
      <c r="AG173" s="323"/>
      <c r="AH173" s="324"/>
      <c r="AI173" s="325"/>
      <c r="AJ173" s="324"/>
      <c r="AK173" s="323"/>
      <c r="AL173" s="324"/>
      <c r="AM173" s="325"/>
      <c r="AN173" s="324"/>
    </row>
    <row r="174" spans="1:40">
      <c r="A174" s="156" t="s">
        <v>645</v>
      </c>
      <c r="B174" s="155" t="s">
        <v>510</v>
      </c>
      <c r="C174" s="156">
        <v>140678</v>
      </c>
      <c r="D174" s="345">
        <v>12</v>
      </c>
      <c r="E174" s="323">
        <v>1581</v>
      </c>
      <c r="F174" s="324">
        <v>2085</v>
      </c>
      <c r="G174" s="325">
        <v>2877</v>
      </c>
      <c r="H174" s="324">
        <v>3885</v>
      </c>
      <c r="I174" s="323"/>
      <c r="J174" s="324"/>
      <c r="K174" s="325"/>
      <c r="L174" s="324"/>
      <c r="M174" s="323"/>
      <c r="N174" s="324"/>
      <c r="O174" s="325"/>
      <c r="P174" s="324"/>
      <c r="Q174" s="323"/>
      <c r="R174" s="324"/>
      <c r="S174" s="325"/>
      <c r="T174" s="324"/>
      <c r="U174" s="323"/>
      <c r="V174" s="324"/>
      <c r="W174" s="325"/>
      <c r="X174" s="324"/>
      <c r="Y174" s="323"/>
      <c r="Z174" s="324"/>
      <c r="AA174" s="325"/>
      <c r="AB174" s="324"/>
      <c r="AC174" s="323"/>
      <c r="AD174" s="324"/>
      <c r="AE174" s="325"/>
      <c r="AF174" s="324"/>
      <c r="AG174" s="323"/>
      <c r="AH174" s="324"/>
      <c r="AI174" s="325"/>
      <c r="AJ174" s="324"/>
      <c r="AK174" s="323"/>
      <c r="AL174" s="324"/>
      <c r="AM174" s="325"/>
      <c r="AN174" s="324"/>
    </row>
    <row r="175" spans="1:40">
      <c r="A175" s="156" t="s">
        <v>645</v>
      </c>
      <c r="B175" s="155" t="s">
        <v>511</v>
      </c>
      <c r="C175" s="156">
        <v>366465</v>
      </c>
      <c r="D175" s="345">
        <v>12</v>
      </c>
      <c r="E175" s="323">
        <v>1554</v>
      </c>
      <c r="F175" s="324">
        <v>2058</v>
      </c>
      <c r="G175" s="325">
        <v>2850</v>
      </c>
      <c r="H175" s="324">
        <v>3858</v>
      </c>
      <c r="I175" s="323"/>
      <c r="J175" s="324"/>
      <c r="K175" s="325"/>
      <c r="L175" s="324"/>
      <c r="M175" s="323"/>
      <c r="N175" s="324"/>
      <c r="O175" s="325"/>
      <c r="P175" s="324"/>
      <c r="Q175" s="323"/>
      <c r="R175" s="324"/>
      <c r="S175" s="325"/>
      <c r="T175" s="324"/>
      <c r="U175" s="323"/>
      <c r="V175" s="324"/>
      <c r="W175" s="325"/>
      <c r="X175" s="324"/>
      <c r="Y175" s="323"/>
      <c r="Z175" s="324"/>
      <c r="AA175" s="325"/>
      <c r="AB175" s="324"/>
      <c r="AC175" s="323"/>
      <c r="AD175" s="324"/>
      <c r="AE175" s="325"/>
      <c r="AF175" s="324"/>
      <c r="AG175" s="323"/>
      <c r="AH175" s="324"/>
      <c r="AI175" s="325"/>
      <c r="AJ175" s="324"/>
      <c r="AK175" s="323"/>
      <c r="AL175" s="324"/>
      <c r="AM175" s="325"/>
      <c r="AN175" s="324"/>
    </row>
    <row r="176" spans="1:40">
      <c r="A176" s="156" t="s">
        <v>645</v>
      </c>
      <c r="B176" s="155" t="s">
        <v>512</v>
      </c>
      <c r="C176" s="156">
        <v>248776</v>
      </c>
      <c r="D176" s="345">
        <v>12</v>
      </c>
      <c r="E176" s="323">
        <v>1539</v>
      </c>
      <c r="F176" s="324">
        <v>2043</v>
      </c>
      <c r="G176" s="325">
        <v>2835</v>
      </c>
      <c r="H176" s="324">
        <v>3843</v>
      </c>
      <c r="I176" s="323"/>
      <c r="J176" s="324"/>
      <c r="K176" s="325"/>
      <c r="L176" s="324"/>
      <c r="M176" s="323"/>
      <c r="N176" s="324"/>
      <c r="O176" s="325"/>
      <c r="P176" s="324"/>
      <c r="Q176" s="323"/>
      <c r="R176" s="324"/>
      <c r="S176" s="325"/>
      <c r="T176" s="324"/>
      <c r="U176" s="323"/>
      <c r="V176" s="324"/>
      <c r="W176" s="325"/>
      <c r="X176" s="324"/>
      <c r="Y176" s="323"/>
      <c r="Z176" s="324"/>
      <c r="AA176" s="325"/>
      <c r="AB176" s="324"/>
      <c r="AC176" s="323"/>
      <c r="AD176" s="324"/>
      <c r="AE176" s="325"/>
      <c r="AF176" s="324"/>
      <c r="AG176" s="323"/>
      <c r="AH176" s="324"/>
      <c r="AI176" s="325"/>
      <c r="AJ176" s="324"/>
      <c r="AK176" s="323"/>
      <c r="AL176" s="324"/>
      <c r="AM176" s="325"/>
      <c r="AN176" s="324"/>
    </row>
    <row r="177" spans="1:40">
      <c r="A177" s="156" t="s">
        <v>645</v>
      </c>
      <c r="B177" s="155" t="s">
        <v>513</v>
      </c>
      <c r="C177" s="156">
        <v>140942</v>
      </c>
      <c r="D177" s="345">
        <v>12</v>
      </c>
      <c r="E177" s="323">
        <v>1539</v>
      </c>
      <c r="F177" s="324">
        <v>2063</v>
      </c>
      <c r="G177" s="325">
        <v>2835</v>
      </c>
      <c r="H177" s="324">
        <v>3863</v>
      </c>
      <c r="I177" s="323"/>
      <c r="J177" s="324"/>
      <c r="K177" s="325"/>
      <c r="L177" s="324"/>
      <c r="M177" s="323"/>
      <c r="N177" s="324"/>
      <c r="O177" s="325"/>
      <c r="P177" s="324"/>
      <c r="Q177" s="323"/>
      <c r="R177" s="324"/>
      <c r="S177" s="325"/>
      <c r="T177" s="324"/>
      <c r="U177" s="323"/>
      <c r="V177" s="324"/>
      <c r="W177" s="325"/>
      <c r="X177" s="324"/>
      <c r="Y177" s="323"/>
      <c r="Z177" s="324"/>
      <c r="AA177" s="325"/>
      <c r="AB177" s="324"/>
      <c r="AC177" s="323"/>
      <c r="AD177" s="324"/>
      <c r="AE177" s="325"/>
      <c r="AF177" s="324"/>
      <c r="AG177" s="323"/>
      <c r="AH177" s="324"/>
      <c r="AI177" s="325"/>
      <c r="AJ177" s="324"/>
      <c r="AK177" s="323"/>
      <c r="AL177" s="324"/>
      <c r="AM177" s="325"/>
      <c r="AN177" s="324"/>
    </row>
    <row r="178" spans="1:40">
      <c r="A178" s="156" t="s">
        <v>645</v>
      </c>
      <c r="B178" s="155" t="s">
        <v>514</v>
      </c>
      <c r="C178" s="156">
        <v>141006</v>
      </c>
      <c r="D178" s="345">
        <v>12</v>
      </c>
      <c r="E178" s="323">
        <v>1611</v>
      </c>
      <c r="F178" s="337">
        <v>2115</v>
      </c>
      <c r="G178" s="325">
        <v>2907</v>
      </c>
      <c r="H178" s="337">
        <v>3915</v>
      </c>
      <c r="I178" s="323"/>
      <c r="J178" s="324"/>
      <c r="K178" s="325"/>
      <c r="L178" s="324"/>
      <c r="M178" s="323"/>
      <c r="N178" s="324"/>
      <c r="O178" s="325"/>
      <c r="P178" s="324"/>
      <c r="Q178" s="323"/>
      <c r="R178" s="324"/>
      <c r="S178" s="325"/>
      <c r="T178" s="324"/>
      <c r="U178" s="323"/>
      <c r="V178" s="324"/>
      <c r="W178" s="325"/>
      <c r="X178" s="324"/>
      <c r="Y178" s="323"/>
      <c r="Z178" s="324"/>
      <c r="AA178" s="325"/>
      <c r="AB178" s="324"/>
      <c r="AC178" s="323"/>
      <c r="AD178" s="324"/>
      <c r="AE178" s="325"/>
      <c r="AF178" s="324"/>
      <c r="AG178" s="323"/>
      <c r="AH178" s="324"/>
      <c r="AI178" s="325"/>
      <c r="AJ178" s="324"/>
      <c r="AK178" s="323"/>
      <c r="AL178" s="324"/>
      <c r="AM178" s="325"/>
      <c r="AN178" s="324"/>
    </row>
    <row r="179" spans="1:40">
      <c r="A179" s="156" t="s">
        <v>645</v>
      </c>
      <c r="B179" s="155" t="s">
        <v>516</v>
      </c>
      <c r="C179" s="156">
        <v>141158</v>
      </c>
      <c r="D179" s="345">
        <v>12</v>
      </c>
      <c r="E179" s="323">
        <v>1539</v>
      </c>
      <c r="F179" s="337">
        <v>2043</v>
      </c>
      <c r="G179" s="325">
        <v>2835</v>
      </c>
      <c r="H179" s="337">
        <v>3843</v>
      </c>
      <c r="I179" s="323"/>
      <c r="J179" s="324"/>
      <c r="K179" s="325"/>
      <c r="L179" s="324"/>
      <c r="M179" s="323"/>
      <c r="N179" s="324"/>
      <c r="O179" s="325"/>
      <c r="P179" s="324"/>
      <c r="Q179" s="323"/>
      <c r="R179" s="324"/>
      <c r="S179" s="325"/>
      <c r="T179" s="324"/>
      <c r="U179" s="323"/>
      <c r="V179" s="324"/>
      <c r="W179" s="325"/>
      <c r="X179" s="324"/>
      <c r="Y179" s="323"/>
      <c r="Z179" s="324"/>
      <c r="AA179" s="325"/>
      <c r="AB179" s="324"/>
      <c r="AC179" s="323"/>
      <c r="AD179" s="324"/>
      <c r="AE179" s="325"/>
      <c r="AF179" s="324"/>
      <c r="AG179" s="323"/>
      <c r="AH179" s="324"/>
      <c r="AI179" s="325"/>
      <c r="AJ179" s="324"/>
      <c r="AK179" s="323"/>
      <c r="AL179" s="324"/>
      <c r="AM179" s="325"/>
      <c r="AN179" s="324"/>
    </row>
    <row r="180" spans="1:40">
      <c r="A180" s="156" t="s">
        <v>645</v>
      </c>
      <c r="B180" s="155" t="s">
        <v>517</v>
      </c>
      <c r="C180" s="156">
        <v>141255</v>
      </c>
      <c r="D180" s="345">
        <v>12</v>
      </c>
      <c r="E180" s="323">
        <v>1572</v>
      </c>
      <c r="F180" s="337">
        <v>2076</v>
      </c>
      <c r="G180" s="325">
        <v>2868</v>
      </c>
      <c r="H180" s="337">
        <v>3876</v>
      </c>
      <c r="I180" s="323"/>
      <c r="J180" s="324"/>
      <c r="K180" s="325"/>
      <c r="L180" s="324"/>
      <c r="M180" s="323"/>
      <c r="N180" s="324"/>
      <c r="O180" s="325"/>
      <c r="P180" s="324"/>
      <c r="Q180" s="323"/>
      <c r="R180" s="324"/>
      <c r="S180" s="325"/>
      <c r="T180" s="324"/>
      <c r="U180" s="323"/>
      <c r="V180" s="324"/>
      <c r="W180" s="325"/>
      <c r="X180" s="324"/>
      <c r="Y180" s="323"/>
      <c r="Z180" s="324"/>
      <c r="AA180" s="325"/>
      <c r="AB180" s="324"/>
      <c r="AC180" s="323"/>
      <c r="AD180" s="324"/>
      <c r="AE180" s="325"/>
      <c r="AF180" s="324"/>
      <c r="AG180" s="323"/>
      <c r="AH180" s="324"/>
      <c r="AI180" s="325"/>
      <c r="AJ180" s="324"/>
      <c r="AK180" s="323"/>
      <c r="AL180" s="324"/>
      <c r="AM180" s="325"/>
      <c r="AN180" s="324"/>
    </row>
    <row r="181" spans="1:40">
      <c r="A181" s="156" t="s">
        <v>645</v>
      </c>
      <c r="B181" s="155" t="s">
        <v>518</v>
      </c>
      <c r="C181" s="156">
        <v>139278</v>
      </c>
      <c r="D181" s="345">
        <v>12</v>
      </c>
      <c r="E181" s="323">
        <v>1545</v>
      </c>
      <c r="F181" s="337">
        <v>2085</v>
      </c>
      <c r="G181" s="325">
        <v>2841</v>
      </c>
      <c r="H181" s="337">
        <v>3885</v>
      </c>
      <c r="I181" s="323"/>
      <c r="J181" s="324"/>
      <c r="K181" s="325"/>
      <c r="L181" s="324"/>
      <c r="M181" s="323"/>
      <c r="N181" s="324"/>
      <c r="O181" s="325"/>
      <c r="P181" s="324"/>
      <c r="Q181" s="323"/>
      <c r="R181" s="324"/>
      <c r="S181" s="325"/>
      <c r="T181" s="324"/>
      <c r="U181" s="323"/>
      <c r="V181" s="324"/>
      <c r="W181" s="325"/>
      <c r="X181" s="324"/>
      <c r="Y181" s="323"/>
      <c r="Z181" s="324"/>
      <c r="AA181" s="325"/>
      <c r="AB181" s="324"/>
      <c r="AC181" s="323"/>
      <c r="AD181" s="324"/>
      <c r="AE181" s="325"/>
      <c r="AF181" s="324"/>
      <c r="AG181" s="323"/>
      <c r="AH181" s="324"/>
      <c r="AI181" s="325"/>
      <c r="AJ181" s="324"/>
      <c r="AK181" s="323"/>
      <c r="AL181" s="324"/>
      <c r="AM181" s="325"/>
      <c r="AN181" s="324"/>
    </row>
    <row r="182" spans="1:40">
      <c r="A182" s="160" t="s">
        <v>645</v>
      </c>
      <c r="B182" s="227" t="s">
        <v>311</v>
      </c>
      <c r="C182" s="157">
        <v>366447</v>
      </c>
      <c r="D182" s="346">
        <v>13</v>
      </c>
      <c r="E182" s="323">
        <v>1539</v>
      </c>
      <c r="F182" s="337">
        <v>2043</v>
      </c>
      <c r="G182" s="325">
        <v>2835</v>
      </c>
      <c r="H182" s="337">
        <v>3843</v>
      </c>
      <c r="I182" s="323"/>
      <c r="J182" s="324"/>
      <c r="K182" s="325"/>
      <c r="L182" s="324"/>
      <c r="M182" s="323"/>
      <c r="N182" s="324"/>
      <c r="O182" s="325"/>
      <c r="P182" s="324"/>
      <c r="Q182" s="323"/>
      <c r="R182" s="324"/>
      <c r="S182" s="325"/>
      <c r="T182" s="324"/>
      <c r="U182" s="323"/>
      <c r="V182" s="324"/>
      <c r="W182" s="325"/>
      <c r="X182" s="324"/>
      <c r="Y182" s="323"/>
      <c r="Z182" s="324"/>
      <c r="AA182" s="325"/>
      <c r="AB182" s="324"/>
      <c r="AC182" s="323"/>
      <c r="AD182" s="324"/>
      <c r="AE182" s="325"/>
      <c r="AF182" s="324"/>
      <c r="AG182" s="323"/>
      <c r="AH182" s="324"/>
      <c r="AI182" s="325"/>
      <c r="AJ182" s="324"/>
      <c r="AK182" s="323"/>
      <c r="AL182" s="324"/>
      <c r="AM182" s="325"/>
      <c r="AN182" s="324"/>
    </row>
    <row r="183" spans="1:40">
      <c r="A183" s="160" t="s">
        <v>645</v>
      </c>
      <c r="B183" s="227" t="s">
        <v>503</v>
      </c>
      <c r="C183" s="157">
        <v>248794</v>
      </c>
      <c r="D183" s="346">
        <v>13</v>
      </c>
      <c r="E183" s="323">
        <v>1539</v>
      </c>
      <c r="F183" s="337">
        <v>2043</v>
      </c>
      <c r="G183" s="325">
        <v>2835</v>
      </c>
      <c r="H183" s="337">
        <v>3843</v>
      </c>
      <c r="I183" s="323"/>
      <c r="J183" s="324"/>
      <c r="K183" s="325"/>
      <c r="L183" s="324"/>
      <c r="M183" s="323"/>
      <c r="N183" s="324"/>
      <c r="O183" s="325"/>
      <c r="P183" s="324"/>
      <c r="Q183" s="323"/>
      <c r="R183" s="324"/>
      <c r="S183" s="325"/>
      <c r="T183" s="324"/>
      <c r="U183" s="323"/>
      <c r="V183" s="324"/>
      <c r="W183" s="325"/>
      <c r="X183" s="324"/>
      <c r="Y183" s="323"/>
      <c r="Z183" s="324"/>
      <c r="AA183" s="325"/>
      <c r="AB183" s="324"/>
      <c r="AC183" s="323"/>
      <c r="AD183" s="324"/>
      <c r="AE183" s="325"/>
      <c r="AF183" s="324"/>
      <c r="AG183" s="323"/>
      <c r="AH183" s="324"/>
      <c r="AI183" s="325"/>
      <c r="AJ183" s="324"/>
      <c r="AK183" s="323"/>
      <c r="AL183" s="324"/>
      <c r="AM183" s="325"/>
      <c r="AN183" s="324"/>
    </row>
    <row r="184" spans="1:40">
      <c r="A184" s="156" t="s">
        <v>645</v>
      </c>
      <c r="B184" s="232" t="s">
        <v>519</v>
      </c>
      <c r="C184" s="156">
        <v>420431</v>
      </c>
      <c r="D184" s="345">
        <v>13</v>
      </c>
      <c r="E184" s="323">
        <v>1539</v>
      </c>
      <c r="F184" s="337">
        <v>2043</v>
      </c>
      <c r="G184" s="325">
        <v>2835</v>
      </c>
      <c r="H184" s="337">
        <v>3843</v>
      </c>
      <c r="I184" s="323"/>
      <c r="J184" s="324"/>
      <c r="K184" s="325"/>
      <c r="L184" s="324"/>
      <c r="M184" s="323"/>
      <c r="N184" s="324"/>
      <c r="O184" s="325"/>
      <c r="P184" s="324"/>
      <c r="Q184" s="323"/>
      <c r="R184" s="324"/>
      <c r="S184" s="325"/>
      <c r="T184" s="324"/>
      <c r="U184" s="323"/>
      <c r="V184" s="324"/>
      <c r="W184" s="325"/>
      <c r="X184" s="324"/>
      <c r="Y184" s="323"/>
      <c r="Z184" s="324"/>
      <c r="AA184" s="325"/>
      <c r="AB184" s="324"/>
      <c r="AC184" s="323"/>
      <c r="AD184" s="324"/>
      <c r="AE184" s="325"/>
      <c r="AF184" s="324"/>
      <c r="AG184" s="323"/>
      <c r="AH184" s="324"/>
      <c r="AI184" s="325"/>
      <c r="AJ184" s="324"/>
      <c r="AK184" s="323"/>
      <c r="AL184" s="324"/>
      <c r="AM184" s="325"/>
      <c r="AN184" s="324"/>
    </row>
    <row r="185" spans="1:40">
      <c r="A185" s="156" t="s">
        <v>645</v>
      </c>
      <c r="B185" s="347" t="s">
        <v>515</v>
      </c>
      <c r="C185" s="348">
        <v>368911</v>
      </c>
      <c r="D185" s="349">
        <v>13</v>
      </c>
      <c r="E185" s="323">
        <v>1539</v>
      </c>
      <c r="F185" s="337">
        <v>2043</v>
      </c>
      <c r="G185" s="325">
        <v>2835</v>
      </c>
      <c r="H185" s="337">
        <v>3843</v>
      </c>
      <c r="I185" s="323"/>
      <c r="J185" s="324"/>
      <c r="K185" s="325"/>
      <c r="L185" s="324"/>
      <c r="M185" s="323"/>
      <c r="N185" s="324"/>
      <c r="O185" s="325"/>
      <c r="P185" s="324"/>
      <c r="Q185" s="323"/>
      <c r="R185" s="324"/>
      <c r="S185" s="325"/>
      <c r="T185" s="324"/>
      <c r="U185" s="323"/>
      <c r="V185" s="324"/>
      <c r="W185" s="325"/>
      <c r="X185" s="324"/>
      <c r="Y185" s="323"/>
      <c r="Z185" s="324"/>
      <c r="AA185" s="325"/>
      <c r="AB185" s="324"/>
      <c r="AC185" s="323"/>
      <c r="AD185" s="324"/>
      <c r="AE185" s="325"/>
      <c r="AF185" s="324"/>
      <c r="AG185" s="323"/>
      <c r="AH185" s="324"/>
      <c r="AI185" s="325"/>
      <c r="AJ185" s="324"/>
      <c r="AK185" s="323"/>
      <c r="AL185" s="324"/>
      <c r="AM185" s="325"/>
      <c r="AN185" s="324"/>
    </row>
    <row r="186" spans="1:40">
      <c r="A186" s="141" t="s">
        <v>135</v>
      </c>
      <c r="B186" s="213" t="s">
        <v>752</v>
      </c>
      <c r="C186" s="141">
        <v>157085</v>
      </c>
      <c r="D186" s="143">
        <v>1</v>
      </c>
      <c r="E186" s="323">
        <v>7848</v>
      </c>
      <c r="F186" s="337">
        <v>8241</v>
      </c>
      <c r="G186" s="325">
        <v>15990</v>
      </c>
      <c r="H186" s="337">
        <v>16790</v>
      </c>
      <c r="I186" s="323">
        <v>8360</v>
      </c>
      <c r="J186" s="324">
        <v>8778</v>
      </c>
      <c r="K186" s="325">
        <v>17228</v>
      </c>
      <c r="L186" s="324">
        <v>18089</v>
      </c>
      <c r="M186" s="323">
        <v>15258</v>
      </c>
      <c r="N186" s="324">
        <v>16021</v>
      </c>
      <c r="O186" s="325">
        <v>26436</v>
      </c>
      <c r="P186" s="324">
        <v>27758</v>
      </c>
      <c r="Q186" s="323">
        <v>26344</v>
      </c>
      <c r="R186" s="324">
        <v>29233</v>
      </c>
      <c r="S186" s="325">
        <v>49220</v>
      </c>
      <c r="T186" s="324">
        <v>53639</v>
      </c>
      <c r="U186" s="323">
        <v>22780</v>
      </c>
      <c r="V186" s="324">
        <v>23910</v>
      </c>
      <c r="W186" s="325">
        <v>46474</v>
      </c>
      <c r="X186" s="324">
        <v>48789</v>
      </c>
      <c r="Y186" s="323">
        <v>19376</v>
      </c>
      <c r="Z186" s="324">
        <v>20345</v>
      </c>
      <c r="AA186" s="325">
        <v>35270</v>
      </c>
      <c r="AB186" s="324">
        <v>37034</v>
      </c>
      <c r="AC186" s="323"/>
      <c r="AD186" s="324"/>
      <c r="AE186" s="325"/>
      <c r="AF186" s="324"/>
      <c r="AG186" s="323"/>
      <c r="AH186" s="324"/>
      <c r="AI186" s="325"/>
      <c r="AJ186" s="324"/>
      <c r="AK186" s="323"/>
      <c r="AL186" s="324"/>
      <c r="AM186" s="325"/>
      <c r="AN186" s="324"/>
    </row>
    <row r="187" spans="1:40">
      <c r="A187" s="141" t="s">
        <v>135</v>
      </c>
      <c r="B187" s="184" t="s">
        <v>753</v>
      </c>
      <c r="C187" s="214">
        <v>157289</v>
      </c>
      <c r="D187" s="329">
        <v>1</v>
      </c>
      <c r="E187" s="323">
        <v>7564</v>
      </c>
      <c r="F187" s="337">
        <v>7944</v>
      </c>
      <c r="G187" s="325">
        <v>18354</v>
      </c>
      <c r="H187" s="337">
        <v>19272</v>
      </c>
      <c r="I187" s="323">
        <v>8206</v>
      </c>
      <c r="J187" s="324">
        <v>8622</v>
      </c>
      <c r="K187" s="325">
        <v>18090</v>
      </c>
      <c r="L187" s="324">
        <v>18504</v>
      </c>
      <c r="M187" s="323">
        <v>13744</v>
      </c>
      <c r="N187" s="324">
        <v>14440</v>
      </c>
      <c r="O187" s="325">
        <v>28292</v>
      </c>
      <c r="P187" s="324">
        <v>28980</v>
      </c>
      <c r="Q187" s="323">
        <v>24498</v>
      </c>
      <c r="R187" s="324">
        <v>25724</v>
      </c>
      <c r="S187" s="325">
        <v>42820</v>
      </c>
      <c r="T187" s="324">
        <v>42820</v>
      </c>
      <c r="U187" s="323">
        <v>20548</v>
      </c>
      <c r="V187" s="324">
        <v>21576</v>
      </c>
      <c r="W187" s="325">
        <v>48072</v>
      </c>
      <c r="X187" s="324">
        <v>49100</v>
      </c>
      <c r="Y187" s="323"/>
      <c r="Z187" s="324"/>
      <c r="AA187" s="325"/>
      <c r="AB187" s="324"/>
      <c r="AC187" s="323"/>
      <c r="AD187" s="324"/>
      <c r="AE187" s="325"/>
      <c r="AF187" s="324"/>
      <c r="AG187" s="323"/>
      <c r="AH187" s="324"/>
      <c r="AI187" s="325"/>
      <c r="AJ187" s="324"/>
      <c r="AK187" s="323"/>
      <c r="AL187" s="324"/>
      <c r="AM187" s="325"/>
      <c r="AN187" s="324"/>
    </row>
    <row r="188" spans="1:40">
      <c r="A188" s="141" t="s">
        <v>135</v>
      </c>
      <c r="B188" s="184" t="s">
        <v>754</v>
      </c>
      <c r="C188" s="214">
        <v>156620</v>
      </c>
      <c r="D188" s="144">
        <v>3</v>
      </c>
      <c r="E188" s="323">
        <v>6080</v>
      </c>
      <c r="F188" s="337">
        <v>6312</v>
      </c>
      <c r="G188" s="325">
        <v>16612</v>
      </c>
      <c r="H188" s="337">
        <v>17280</v>
      </c>
      <c r="I188" s="323">
        <v>6632</v>
      </c>
      <c r="J188" s="324">
        <v>9192</v>
      </c>
      <c r="K188" s="325">
        <v>18186</v>
      </c>
      <c r="L188" s="324">
        <v>18384</v>
      </c>
      <c r="M188" s="323"/>
      <c r="N188" s="324"/>
      <c r="O188" s="325"/>
      <c r="P188" s="324"/>
      <c r="Q188" s="323"/>
      <c r="R188" s="324"/>
      <c r="S188" s="325"/>
      <c r="T188" s="324"/>
      <c r="U188" s="323"/>
      <c r="V188" s="324"/>
      <c r="W188" s="325"/>
      <c r="X188" s="324"/>
      <c r="Y188" s="323"/>
      <c r="Z188" s="324"/>
      <c r="AA188" s="325"/>
      <c r="AB188" s="324"/>
      <c r="AC188" s="323"/>
      <c r="AD188" s="324"/>
      <c r="AE188" s="325"/>
      <c r="AF188" s="324"/>
      <c r="AG188" s="323"/>
      <c r="AH188" s="324"/>
      <c r="AI188" s="325"/>
      <c r="AJ188" s="324"/>
      <c r="AK188" s="323"/>
      <c r="AL188" s="324"/>
      <c r="AM188" s="325"/>
      <c r="AN188" s="324"/>
    </row>
    <row r="189" spans="1:40">
      <c r="A189" s="141" t="s">
        <v>135</v>
      </c>
      <c r="B189" s="213" t="s">
        <v>755</v>
      </c>
      <c r="C189" s="141">
        <v>157401</v>
      </c>
      <c r="D189" s="143">
        <v>3</v>
      </c>
      <c r="E189" s="323">
        <v>5748</v>
      </c>
      <c r="F189" s="337">
        <v>5976</v>
      </c>
      <c r="G189" s="325">
        <v>15612</v>
      </c>
      <c r="H189" s="337">
        <v>16236</v>
      </c>
      <c r="I189" s="323">
        <v>6525</v>
      </c>
      <c r="J189" s="324">
        <v>6786</v>
      </c>
      <c r="K189" s="325">
        <v>18351</v>
      </c>
      <c r="L189" s="324">
        <v>19089</v>
      </c>
      <c r="M189" s="323"/>
      <c r="N189" s="324"/>
      <c r="O189" s="325"/>
      <c r="P189" s="324"/>
      <c r="Q189" s="323"/>
      <c r="R189" s="324"/>
      <c r="S189" s="325"/>
      <c r="T189" s="324"/>
      <c r="U189" s="323"/>
      <c r="V189" s="324"/>
      <c r="W189" s="325"/>
      <c r="X189" s="324"/>
      <c r="Y189" s="323"/>
      <c r="Z189" s="324"/>
      <c r="AA189" s="325"/>
      <c r="AB189" s="324"/>
      <c r="AC189" s="323"/>
      <c r="AD189" s="324"/>
      <c r="AE189" s="325"/>
      <c r="AF189" s="324"/>
      <c r="AG189" s="323"/>
      <c r="AH189" s="324"/>
      <c r="AI189" s="325"/>
      <c r="AJ189" s="324"/>
      <c r="AK189" s="323"/>
      <c r="AL189" s="324"/>
      <c r="AM189" s="325"/>
      <c r="AN189" s="324"/>
    </row>
    <row r="190" spans="1:40">
      <c r="A190" s="141" t="s">
        <v>135</v>
      </c>
      <c r="B190" s="213" t="s">
        <v>756</v>
      </c>
      <c r="C190" s="141">
        <v>157951</v>
      </c>
      <c r="D190" s="143">
        <v>3</v>
      </c>
      <c r="E190" s="323">
        <v>6930</v>
      </c>
      <c r="F190" s="337">
        <v>7200</v>
      </c>
      <c r="G190" s="325">
        <v>17088</v>
      </c>
      <c r="H190" s="337">
        <v>17784</v>
      </c>
      <c r="I190" s="323">
        <v>7640</v>
      </c>
      <c r="J190" s="324">
        <v>7920</v>
      </c>
      <c r="K190" s="325">
        <v>8360</v>
      </c>
      <c r="L190" s="324">
        <v>8700</v>
      </c>
      <c r="M190" s="323"/>
      <c r="N190" s="324"/>
      <c r="O190" s="325"/>
      <c r="P190" s="324"/>
      <c r="Q190" s="323"/>
      <c r="R190" s="324"/>
      <c r="S190" s="325"/>
      <c r="T190" s="324"/>
      <c r="U190" s="323"/>
      <c r="V190" s="324"/>
      <c r="W190" s="325"/>
      <c r="X190" s="324"/>
      <c r="Y190" s="323"/>
      <c r="Z190" s="324"/>
      <c r="AA190" s="325"/>
      <c r="AB190" s="324"/>
      <c r="AC190" s="323"/>
      <c r="AD190" s="324"/>
      <c r="AE190" s="325"/>
      <c r="AF190" s="324"/>
      <c r="AG190" s="323"/>
      <c r="AH190" s="324"/>
      <c r="AI190" s="325"/>
      <c r="AJ190" s="324"/>
      <c r="AK190" s="323"/>
      <c r="AL190" s="324"/>
      <c r="AM190" s="325"/>
      <c r="AN190" s="324"/>
    </row>
    <row r="191" spans="1:40">
      <c r="A191" s="141" t="s">
        <v>135</v>
      </c>
      <c r="B191" s="184" t="s">
        <v>757</v>
      </c>
      <c r="C191" s="141">
        <v>157386</v>
      </c>
      <c r="D191" s="143">
        <v>4</v>
      </c>
      <c r="E191" s="323">
        <v>5670</v>
      </c>
      <c r="F191" s="337">
        <v>6038</v>
      </c>
      <c r="G191" s="325">
        <v>14742</v>
      </c>
      <c r="H191" s="337">
        <v>15094</v>
      </c>
      <c r="I191" s="323">
        <v>8112</v>
      </c>
      <c r="J191" s="324">
        <v>8424</v>
      </c>
      <c r="K191" s="325">
        <v>21072</v>
      </c>
      <c r="L191" s="324">
        <v>21072</v>
      </c>
      <c r="M191" s="323"/>
      <c r="N191" s="324"/>
      <c r="O191" s="325"/>
      <c r="P191" s="324"/>
      <c r="Q191" s="323"/>
      <c r="R191" s="324"/>
      <c r="S191" s="325"/>
      <c r="T191" s="324"/>
      <c r="U191" s="323"/>
      <c r="V191" s="324"/>
      <c r="W191" s="325"/>
      <c r="X191" s="324"/>
      <c r="Y191" s="323"/>
      <c r="Z191" s="324"/>
      <c r="AA191" s="325"/>
      <c r="AB191" s="324"/>
      <c r="AC191" s="323"/>
      <c r="AD191" s="324"/>
      <c r="AE191" s="325"/>
      <c r="AF191" s="324"/>
      <c r="AG191" s="323"/>
      <c r="AH191" s="324"/>
      <c r="AI191" s="325"/>
      <c r="AJ191" s="324"/>
      <c r="AK191" s="323"/>
      <c r="AL191" s="324"/>
      <c r="AM191" s="325"/>
      <c r="AN191" s="324"/>
    </row>
    <row r="192" spans="1:40">
      <c r="A192" s="141" t="s">
        <v>135</v>
      </c>
      <c r="B192" s="213" t="s">
        <v>758</v>
      </c>
      <c r="C192" s="141">
        <v>157447</v>
      </c>
      <c r="D192" s="143">
        <v>4</v>
      </c>
      <c r="E192" s="323">
        <v>6528</v>
      </c>
      <c r="F192" s="337">
        <v>6792</v>
      </c>
      <c r="G192" s="325">
        <v>11952</v>
      </c>
      <c r="H192" s="337">
        <v>12792</v>
      </c>
      <c r="I192" s="323">
        <v>8856</v>
      </c>
      <c r="J192" s="324">
        <v>9216</v>
      </c>
      <c r="K192" s="325">
        <v>15576</v>
      </c>
      <c r="L192" s="324">
        <v>16200</v>
      </c>
      <c r="M192" s="323">
        <v>13344</v>
      </c>
      <c r="N192" s="324">
        <v>13608</v>
      </c>
      <c r="O192" s="325">
        <v>29112</v>
      </c>
      <c r="P192" s="324">
        <v>29688</v>
      </c>
      <c r="Q192" s="323"/>
      <c r="R192" s="324"/>
      <c r="S192" s="325"/>
      <c r="T192" s="324"/>
      <c r="U192" s="323"/>
      <c r="V192" s="324"/>
      <c r="W192" s="325"/>
      <c r="X192" s="324"/>
      <c r="Y192" s="323"/>
      <c r="Z192" s="324"/>
      <c r="AA192" s="325"/>
      <c r="AB192" s="324"/>
      <c r="AC192" s="323"/>
      <c r="AD192" s="324"/>
      <c r="AE192" s="325"/>
      <c r="AF192" s="324"/>
      <c r="AG192" s="323"/>
      <c r="AH192" s="324"/>
      <c r="AI192" s="325"/>
      <c r="AJ192" s="324"/>
      <c r="AK192" s="323"/>
      <c r="AL192" s="324"/>
      <c r="AM192" s="325"/>
      <c r="AN192" s="324"/>
    </row>
    <row r="193" spans="1:40">
      <c r="A193" s="141" t="s">
        <v>135</v>
      </c>
      <c r="B193" s="184" t="s">
        <v>759</v>
      </c>
      <c r="C193" s="141">
        <v>157058</v>
      </c>
      <c r="D193" s="143">
        <v>5</v>
      </c>
      <c r="E193" s="323">
        <v>5692</v>
      </c>
      <c r="F193" s="337">
        <v>5920</v>
      </c>
      <c r="G193" s="325">
        <v>13490</v>
      </c>
      <c r="H193" s="337">
        <v>14208</v>
      </c>
      <c r="I193" s="323">
        <v>5850</v>
      </c>
      <c r="J193" s="324">
        <v>6084</v>
      </c>
      <c r="K193" s="325">
        <v>13680</v>
      </c>
      <c r="L193" s="324">
        <v>14598</v>
      </c>
      <c r="M193" s="323"/>
      <c r="N193" s="324"/>
      <c r="O193" s="325"/>
      <c r="P193" s="324"/>
      <c r="Q193" s="323"/>
      <c r="R193" s="324"/>
      <c r="S193" s="325"/>
      <c r="T193" s="324"/>
      <c r="U193" s="323"/>
      <c r="V193" s="324"/>
      <c r="W193" s="325"/>
      <c r="X193" s="324"/>
      <c r="Y193" s="323"/>
      <c r="Z193" s="324"/>
      <c r="AA193" s="325"/>
      <c r="AB193" s="324"/>
      <c r="AC193" s="323"/>
      <c r="AD193" s="324"/>
      <c r="AE193" s="325"/>
      <c r="AF193" s="324"/>
      <c r="AG193" s="323"/>
      <c r="AH193" s="324"/>
      <c r="AI193" s="325"/>
      <c r="AJ193" s="324"/>
      <c r="AK193" s="323"/>
      <c r="AL193" s="324"/>
      <c r="AM193" s="325"/>
      <c r="AN193" s="324"/>
    </row>
    <row r="194" spans="1:40">
      <c r="A194" s="141" t="s">
        <v>135</v>
      </c>
      <c r="B194" s="184" t="s">
        <v>760</v>
      </c>
      <c r="C194" s="214">
        <v>157173</v>
      </c>
      <c r="D194" s="143">
        <v>8</v>
      </c>
      <c r="E194" s="323">
        <v>3630</v>
      </c>
      <c r="F194" s="337">
        <v>3750</v>
      </c>
      <c r="G194" s="325">
        <v>11700</v>
      </c>
      <c r="H194" s="337">
        <v>12750</v>
      </c>
      <c r="I194" s="323"/>
      <c r="J194" s="324"/>
      <c r="K194" s="325"/>
      <c r="L194" s="324"/>
      <c r="M194" s="323"/>
      <c r="N194" s="324"/>
      <c r="O194" s="325"/>
      <c r="P194" s="324"/>
      <c r="Q194" s="323"/>
      <c r="R194" s="324"/>
      <c r="S194" s="325"/>
      <c r="T194" s="324"/>
      <c r="U194" s="323"/>
      <c r="V194" s="324"/>
      <c r="W194" s="325"/>
      <c r="X194" s="324"/>
      <c r="Y194" s="323"/>
      <c r="Z194" s="324"/>
      <c r="AA194" s="325"/>
      <c r="AB194" s="324"/>
      <c r="AC194" s="323"/>
      <c r="AD194" s="324"/>
      <c r="AE194" s="325"/>
      <c r="AF194" s="324"/>
      <c r="AG194" s="323"/>
      <c r="AH194" s="324"/>
      <c r="AI194" s="325"/>
      <c r="AJ194" s="324"/>
      <c r="AK194" s="323"/>
      <c r="AL194" s="324"/>
      <c r="AM194" s="325"/>
      <c r="AN194" s="324"/>
    </row>
    <row r="195" spans="1:40">
      <c r="A195" s="141" t="s">
        <v>135</v>
      </c>
      <c r="B195" s="184" t="s">
        <v>761</v>
      </c>
      <c r="C195" s="214">
        <v>156921</v>
      </c>
      <c r="D195" s="143">
        <v>8</v>
      </c>
      <c r="E195" s="323">
        <v>3630</v>
      </c>
      <c r="F195" s="337">
        <v>3750</v>
      </c>
      <c r="G195" s="325">
        <v>11700</v>
      </c>
      <c r="H195" s="337">
        <v>12750</v>
      </c>
      <c r="I195" s="323"/>
      <c r="J195" s="324"/>
      <c r="K195" s="325"/>
      <c r="L195" s="324"/>
      <c r="M195" s="323"/>
      <c r="N195" s="324"/>
      <c r="O195" s="325"/>
      <c r="P195" s="324"/>
      <c r="Q195" s="323"/>
      <c r="R195" s="324"/>
      <c r="S195" s="325"/>
      <c r="T195" s="324"/>
      <c r="U195" s="323"/>
      <c r="V195" s="324"/>
      <c r="W195" s="325"/>
      <c r="X195" s="324"/>
      <c r="Y195" s="323"/>
      <c r="Z195" s="324"/>
      <c r="AA195" s="325"/>
      <c r="AB195" s="324"/>
      <c r="AC195" s="323"/>
      <c r="AD195" s="324"/>
      <c r="AE195" s="325"/>
      <c r="AF195" s="324"/>
      <c r="AG195" s="323"/>
      <c r="AH195" s="324"/>
      <c r="AI195" s="325"/>
      <c r="AJ195" s="324"/>
      <c r="AK195" s="323"/>
      <c r="AL195" s="324"/>
      <c r="AM195" s="325"/>
      <c r="AN195" s="324"/>
    </row>
    <row r="196" spans="1:40">
      <c r="A196" s="141" t="s">
        <v>135</v>
      </c>
      <c r="B196" s="184" t="s">
        <v>762</v>
      </c>
      <c r="C196" s="214">
        <v>156231</v>
      </c>
      <c r="D196" s="143">
        <v>9</v>
      </c>
      <c r="E196" s="323">
        <v>3630</v>
      </c>
      <c r="F196" s="337">
        <v>3750</v>
      </c>
      <c r="G196" s="325">
        <v>11700</v>
      </c>
      <c r="H196" s="337">
        <v>12750</v>
      </c>
      <c r="I196" s="323"/>
      <c r="J196" s="324"/>
      <c r="K196" s="325"/>
      <c r="L196" s="324"/>
      <c r="M196" s="323"/>
      <c r="N196" s="324"/>
      <c r="O196" s="325"/>
      <c r="P196" s="324"/>
      <c r="Q196" s="323"/>
      <c r="R196" s="324"/>
      <c r="S196" s="325"/>
      <c r="T196" s="324"/>
      <c r="U196" s="323"/>
      <c r="V196" s="324"/>
      <c r="W196" s="325"/>
      <c r="X196" s="324"/>
      <c r="Y196" s="323"/>
      <c r="Z196" s="324"/>
      <c r="AA196" s="325"/>
      <c r="AB196" s="324"/>
      <c r="AC196" s="323"/>
      <c r="AD196" s="324"/>
      <c r="AE196" s="325"/>
      <c r="AF196" s="324"/>
      <c r="AG196" s="323"/>
      <c r="AH196" s="324"/>
      <c r="AI196" s="325"/>
      <c r="AJ196" s="324"/>
      <c r="AK196" s="323"/>
      <c r="AL196" s="324"/>
      <c r="AM196" s="325"/>
      <c r="AN196" s="324"/>
    </row>
    <row r="197" spans="1:40">
      <c r="A197" s="141" t="s">
        <v>135</v>
      </c>
      <c r="B197" s="184" t="s">
        <v>763</v>
      </c>
      <c r="C197" s="215">
        <v>157553</v>
      </c>
      <c r="D197" s="144">
        <v>9</v>
      </c>
      <c r="E197" s="323">
        <v>3630</v>
      </c>
      <c r="F197" s="337">
        <v>3750</v>
      </c>
      <c r="G197" s="325">
        <v>11700</v>
      </c>
      <c r="H197" s="337">
        <v>12750</v>
      </c>
      <c r="I197" s="323"/>
      <c r="J197" s="324"/>
      <c r="K197" s="325"/>
      <c r="L197" s="324"/>
      <c r="M197" s="323"/>
      <c r="N197" s="324"/>
      <c r="O197" s="325"/>
      <c r="P197" s="324"/>
      <c r="Q197" s="323"/>
      <c r="R197" s="324"/>
      <c r="S197" s="325"/>
      <c r="T197" s="324"/>
      <c r="U197" s="323"/>
      <c r="V197" s="324"/>
      <c r="W197" s="325"/>
      <c r="X197" s="324"/>
      <c r="Y197" s="323"/>
      <c r="Z197" s="324"/>
      <c r="AA197" s="325"/>
      <c r="AB197" s="324"/>
      <c r="AC197" s="323"/>
      <c r="AD197" s="324"/>
      <c r="AE197" s="325"/>
      <c r="AF197" s="324"/>
      <c r="AG197" s="323"/>
      <c r="AH197" s="324"/>
      <c r="AI197" s="325"/>
      <c r="AJ197" s="324"/>
      <c r="AK197" s="323"/>
      <c r="AL197" s="324"/>
      <c r="AM197" s="325"/>
      <c r="AN197" s="324"/>
    </row>
    <row r="198" spans="1:40">
      <c r="A198" s="141" t="s">
        <v>135</v>
      </c>
      <c r="B198" s="184" t="s">
        <v>764</v>
      </c>
      <c r="C198" s="215">
        <v>156648</v>
      </c>
      <c r="D198" s="144">
        <v>9</v>
      </c>
      <c r="E198" s="323">
        <v>3630</v>
      </c>
      <c r="F198" s="337">
        <v>3750</v>
      </c>
      <c r="G198" s="325">
        <v>11700</v>
      </c>
      <c r="H198" s="337">
        <v>12750</v>
      </c>
      <c r="I198" s="323"/>
      <c r="J198" s="324"/>
      <c r="K198" s="325"/>
      <c r="L198" s="324"/>
      <c r="M198" s="323"/>
      <c r="N198" s="324"/>
      <c r="O198" s="325"/>
      <c r="P198" s="324"/>
      <c r="Q198" s="323"/>
      <c r="R198" s="324"/>
      <c r="S198" s="325"/>
      <c r="T198" s="324"/>
      <c r="U198" s="323"/>
      <c r="V198" s="324"/>
      <c r="W198" s="325"/>
      <c r="X198" s="324"/>
      <c r="Y198" s="323"/>
      <c r="Z198" s="324"/>
      <c r="AA198" s="325"/>
      <c r="AB198" s="324"/>
      <c r="AC198" s="323"/>
      <c r="AD198" s="324"/>
      <c r="AE198" s="325"/>
      <c r="AF198" s="324"/>
      <c r="AG198" s="323"/>
      <c r="AH198" s="324"/>
      <c r="AI198" s="325"/>
      <c r="AJ198" s="324"/>
      <c r="AK198" s="323"/>
      <c r="AL198" s="324"/>
      <c r="AM198" s="325"/>
      <c r="AN198" s="324"/>
    </row>
    <row r="199" spans="1:40">
      <c r="A199" s="141" t="s">
        <v>135</v>
      </c>
      <c r="B199" s="216" t="s">
        <v>766</v>
      </c>
      <c r="C199" s="215">
        <v>157304</v>
      </c>
      <c r="D199" s="148">
        <v>9</v>
      </c>
      <c r="E199" s="323">
        <v>3630</v>
      </c>
      <c r="F199" s="337">
        <v>3750</v>
      </c>
      <c r="G199" s="325">
        <v>11700</v>
      </c>
      <c r="H199" s="337">
        <v>12750</v>
      </c>
      <c r="I199" s="323"/>
      <c r="J199" s="324"/>
      <c r="K199" s="325"/>
      <c r="L199" s="324"/>
      <c r="M199" s="323"/>
      <c r="N199" s="324"/>
      <c r="O199" s="325"/>
      <c r="P199" s="324"/>
      <c r="Q199" s="323"/>
      <c r="R199" s="324"/>
      <c r="S199" s="325"/>
      <c r="T199" s="324"/>
      <c r="U199" s="323"/>
      <c r="V199" s="324"/>
      <c r="W199" s="325"/>
      <c r="X199" s="324"/>
      <c r="Y199" s="323"/>
      <c r="Z199" s="324"/>
      <c r="AA199" s="325"/>
      <c r="AB199" s="324"/>
      <c r="AC199" s="323"/>
      <c r="AD199" s="324"/>
      <c r="AE199" s="325"/>
      <c r="AF199" s="324"/>
      <c r="AG199" s="323"/>
      <c r="AH199" s="324"/>
      <c r="AI199" s="325"/>
      <c r="AJ199" s="324"/>
      <c r="AK199" s="323"/>
      <c r="AL199" s="324"/>
      <c r="AM199" s="325"/>
      <c r="AN199" s="324"/>
    </row>
    <row r="200" spans="1:40">
      <c r="A200" s="141" t="s">
        <v>135</v>
      </c>
      <c r="B200" s="350" t="s">
        <v>773</v>
      </c>
      <c r="C200" s="215">
        <v>157331</v>
      </c>
      <c r="D200" s="351">
        <v>9</v>
      </c>
      <c r="E200" s="323">
        <v>3630</v>
      </c>
      <c r="F200" s="337">
        <v>3750</v>
      </c>
      <c r="G200" s="325">
        <v>11700</v>
      </c>
      <c r="H200" s="337">
        <v>12750</v>
      </c>
      <c r="I200" s="323"/>
      <c r="J200" s="324"/>
      <c r="K200" s="325"/>
      <c r="L200" s="324"/>
      <c r="M200" s="323"/>
      <c r="N200" s="324"/>
      <c r="O200" s="325"/>
      <c r="P200" s="324"/>
      <c r="Q200" s="323"/>
      <c r="R200" s="324"/>
      <c r="S200" s="325"/>
      <c r="T200" s="324"/>
      <c r="U200" s="323"/>
      <c r="V200" s="324"/>
      <c r="W200" s="325"/>
      <c r="X200" s="324"/>
      <c r="Y200" s="323"/>
      <c r="Z200" s="324"/>
      <c r="AA200" s="325"/>
      <c r="AB200" s="324"/>
      <c r="AC200" s="323"/>
      <c r="AD200" s="324"/>
      <c r="AE200" s="325"/>
      <c r="AF200" s="324"/>
      <c r="AG200" s="323"/>
      <c r="AH200" s="324"/>
      <c r="AI200" s="325"/>
      <c r="AJ200" s="324"/>
      <c r="AK200" s="323"/>
      <c r="AL200" s="324"/>
      <c r="AM200" s="325"/>
      <c r="AN200" s="324"/>
    </row>
    <row r="201" spans="1:40">
      <c r="A201" s="141" t="s">
        <v>135</v>
      </c>
      <c r="B201" s="216" t="s">
        <v>767</v>
      </c>
      <c r="C201" s="141">
        <v>247940</v>
      </c>
      <c r="D201" s="143">
        <v>9</v>
      </c>
      <c r="E201" s="323">
        <v>3630</v>
      </c>
      <c r="F201" s="337">
        <v>3750</v>
      </c>
      <c r="G201" s="325">
        <v>11700</v>
      </c>
      <c r="H201" s="337">
        <v>12750</v>
      </c>
      <c r="I201" s="323"/>
      <c r="J201" s="324"/>
      <c r="K201" s="325"/>
      <c r="L201" s="324"/>
      <c r="M201" s="323"/>
      <c r="N201" s="324"/>
      <c r="O201" s="325"/>
      <c r="P201" s="324"/>
      <c r="Q201" s="323"/>
      <c r="R201" s="324"/>
      <c r="S201" s="325"/>
      <c r="T201" s="324"/>
      <c r="U201" s="323"/>
      <c r="V201" s="324"/>
      <c r="W201" s="325"/>
      <c r="X201" s="324"/>
      <c r="Y201" s="323"/>
      <c r="Z201" s="324"/>
      <c r="AA201" s="325"/>
      <c r="AB201" s="324"/>
      <c r="AC201" s="323"/>
      <c r="AD201" s="324"/>
      <c r="AE201" s="325"/>
      <c r="AF201" s="324"/>
      <c r="AG201" s="323"/>
      <c r="AH201" s="324"/>
      <c r="AI201" s="325"/>
      <c r="AJ201" s="324"/>
      <c r="AK201" s="323"/>
      <c r="AL201" s="324"/>
      <c r="AM201" s="325"/>
      <c r="AN201" s="324"/>
    </row>
    <row r="202" spans="1:40">
      <c r="A202" s="141" t="s">
        <v>135</v>
      </c>
      <c r="B202" s="216" t="s">
        <v>768</v>
      </c>
      <c r="C202" s="141">
        <v>157711</v>
      </c>
      <c r="D202" s="143">
        <v>9</v>
      </c>
      <c r="E202" s="323">
        <v>3630</v>
      </c>
      <c r="F202" s="337">
        <v>3750</v>
      </c>
      <c r="G202" s="325">
        <v>11700</v>
      </c>
      <c r="H202" s="337">
        <v>12750</v>
      </c>
      <c r="I202" s="323"/>
      <c r="J202" s="324"/>
      <c r="K202" s="325"/>
      <c r="L202" s="324"/>
      <c r="M202" s="323"/>
      <c r="N202" s="324"/>
      <c r="O202" s="325"/>
      <c r="P202" s="324"/>
      <c r="Q202" s="323"/>
      <c r="R202" s="324"/>
      <c r="S202" s="325"/>
      <c r="T202" s="324"/>
      <c r="U202" s="323"/>
      <c r="V202" s="324"/>
      <c r="W202" s="325"/>
      <c r="X202" s="324"/>
      <c r="Y202" s="323"/>
      <c r="Z202" s="324"/>
      <c r="AA202" s="325"/>
      <c r="AB202" s="324"/>
      <c r="AC202" s="323"/>
      <c r="AD202" s="324"/>
      <c r="AE202" s="325"/>
      <c r="AF202" s="324"/>
      <c r="AG202" s="323"/>
      <c r="AH202" s="324"/>
      <c r="AI202" s="325"/>
      <c r="AJ202" s="324"/>
      <c r="AK202" s="323"/>
      <c r="AL202" s="324"/>
      <c r="AM202" s="325"/>
      <c r="AN202" s="324"/>
    </row>
    <row r="203" spans="1:40">
      <c r="A203" s="141" t="s">
        <v>135</v>
      </c>
      <c r="B203" s="184" t="s">
        <v>769</v>
      </c>
      <c r="C203" s="141">
        <v>157739</v>
      </c>
      <c r="D203" s="143">
        <v>9</v>
      </c>
      <c r="E203" s="323">
        <v>3630</v>
      </c>
      <c r="F203" s="337">
        <v>3750</v>
      </c>
      <c r="G203" s="325">
        <v>11700</v>
      </c>
      <c r="H203" s="337">
        <v>12750</v>
      </c>
      <c r="I203" s="323"/>
      <c r="J203" s="324"/>
      <c r="K203" s="325"/>
      <c r="L203" s="324"/>
      <c r="M203" s="323"/>
      <c r="N203" s="324"/>
      <c r="O203" s="325"/>
      <c r="P203" s="324"/>
      <c r="Q203" s="323"/>
      <c r="R203" s="324"/>
      <c r="S203" s="325"/>
      <c r="T203" s="324"/>
      <c r="U203" s="323"/>
      <c r="V203" s="324"/>
      <c r="W203" s="325"/>
      <c r="X203" s="324"/>
      <c r="Y203" s="323"/>
      <c r="Z203" s="324"/>
      <c r="AA203" s="325"/>
      <c r="AB203" s="324"/>
      <c r="AC203" s="323"/>
      <c r="AD203" s="324"/>
      <c r="AE203" s="325"/>
      <c r="AF203" s="324"/>
      <c r="AG203" s="323"/>
      <c r="AH203" s="324"/>
      <c r="AI203" s="325"/>
      <c r="AJ203" s="324"/>
      <c r="AK203" s="323"/>
      <c r="AL203" s="324"/>
      <c r="AM203" s="325"/>
      <c r="AN203" s="324"/>
    </row>
    <row r="204" spans="1:40">
      <c r="A204" s="141" t="s">
        <v>135</v>
      </c>
      <c r="B204" s="184" t="s">
        <v>770</v>
      </c>
      <c r="C204" s="214">
        <v>157483</v>
      </c>
      <c r="D204" s="144">
        <v>9</v>
      </c>
      <c r="E204" s="323">
        <v>3630</v>
      </c>
      <c r="F204" s="337">
        <v>3750</v>
      </c>
      <c r="G204" s="325">
        <v>11700</v>
      </c>
      <c r="H204" s="337">
        <v>12750</v>
      </c>
      <c r="I204" s="323"/>
      <c r="J204" s="324"/>
      <c r="K204" s="325"/>
      <c r="L204" s="324"/>
      <c r="M204" s="323"/>
      <c r="N204" s="324"/>
      <c r="O204" s="325"/>
      <c r="P204" s="324"/>
      <c r="Q204" s="323"/>
      <c r="R204" s="324"/>
      <c r="S204" s="325"/>
      <c r="T204" s="324"/>
      <c r="U204" s="323"/>
      <c r="V204" s="324"/>
      <c r="W204" s="325"/>
      <c r="X204" s="324"/>
      <c r="Y204" s="323"/>
      <c r="Z204" s="324"/>
      <c r="AA204" s="325"/>
      <c r="AB204" s="324"/>
      <c r="AC204" s="323"/>
      <c r="AD204" s="324"/>
      <c r="AE204" s="325"/>
      <c r="AF204" s="324"/>
      <c r="AG204" s="323"/>
      <c r="AH204" s="324"/>
      <c r="AI204" s="325"/>
      <c r="AJ204" s="324"/>
      <c r="AK204" s="323"/>
      <c r="AL204" s="324"/>
      <c r="AM204" s="325"/>
      <c r="AN204" s="324"/>
    </row>
    <row r="205" spans="1:40">
      <c r="A205" s="141" t="s">
        <v>135</v>
      </c>
      <c r="B205" s="350" t="s">
        <v>765</v>
      </c>
      <c r="C205" s="215">
        <v>156790</v>
      </c>
      <c r="D205" s="351">
        <v>10</v>
      </c>
      <c r="E205" s="323">
        <v>3630</v>
      </c>
      <c r="F205" s="337">
        <v>3750</v>
      </c>
      <c r="G205" s="325">
        <v>11700</v>
      </c>
      <c r="H205" s="337">
        <v>12750</v>
      </c>
      <c r="I205" s="323"/>
      <c r="J205" s="324"/>
      <c r="K205" s="325"/>
      <c r="L205" s="324"/>
      <c r="M205" s="323"/>
      <c r="N205" s="324"/>
      <c r="O205" s="325"/>
      <c r="P205" s="324"/>
      <c r="Q205" s="323"/>
      <c r="R205" s="324"/>
      <c r="S205" s="325"/>
      <c r="T205" s="324"/>
      <c r="U205" s="323"/>
      <c r="V205" s="324"/>
      <c r="W205" s="325"/>
      <c r="X205" s="324"/>
      <c r="Y205" s="323"/>
      <c r="Z205" s="324"/>
      <c r="AA205" s="325"/>
      <c r="AB205" s="324"/>
      <c r="AC205" s="323"/>
      <c r="AD205" s="324"/>
      <c r="AE205" s="325"/>
      <c r="AF205" s="324"/>
      <c r="AG205" s="323"/>
      <c r="AH205" s="324"/>
      <c r="AI205" s="325"/>
      <c r="AJ205" s="324"/>
      <c r="AK205" s="323"/>
      <c r="AL205" s="324"/>
      <c r="AM205" s="325"/>
      <c r="AN205" s="324"/>
    </row>
    <row r="206" spans="1:40">
      <c r="A206" s="141" t="s">
        <v>135</v>
      </c>
      <c r="B206" s="184" t="s">
        <v>771</v>
      </c>
      <c r="C206" s="141">
        <v>156851</v>
      </c>
      <c r="D206" s="143">
        <v>10</v>
      </c>
      <c r="E206" s="323">
        <v>3630</v>
      </c>
      <c r="F206" s="337">
        <v>3750</v>
      </c>
      <c r="G206" s="325">
        <v>11700</v>
      </c>
      <c r="H206" s="337">
        <v>12750</v>
      </c>
      <c r="I206" s="323"/>
      <c r="J206" s="324"/>
      <c r="K206" s="325"/>
      <c r="L206" s="324"/>
      <c r="M206" s="323"/>
      <c r="N206" s="324"/>
      <c r="O206" s="325"/>
      <c r="P206" s="324"/>
      <c r="Q206" s="323"/>
      <c r="R206" s="324"/>
      <c r="S206" s="325"/>
      <c r="T206" s="324"/>
      <c r="U206" s="323"/>
      <c r="V206" s="324"/>
      <c r="W206" s="325"/>
      <c r="X206" s="324"/>
      <c r="Y206" s="323"/>
      <c r="Z206" s="324"/>
      <c r="AA206" s="325"/>
      <c r="AB206" s="324"/>
      <c r="AC206" s="323"/>
      <c r="AD206" s="324"/>
      <c r="AE206" s="325"/>
      <c r="AF206" s="324"/>
      <c r="AG206" s="323"/>
      <c r="AH206" s="324"/>
      <c r="AI206" s="325"/>
      <c r="AJ206" s="324"/>
      <c r="AK206" s="323"/>
      <c r="AL206" s="324"/>
      <c r="AM206" s="325"/>
      <c r="AN206" s="324"/>
    </row>
    <row r="207" spans="1:40">
      <c r="A207" s="141" t="s">
        <v>135</v>
      </c>
      <c r="B207" s="184" t="s">
        <v>772</v>
      </c>
      <c r="C207" s="141">
        <v>156860</v>
      </c>
      <c r="D207" s="143">
        <v>10</v>
      </c>
      <c r="E207" s="323">
        <v>3630</v>
      </c>
      <c r="F207" s="337">
        <v>3750</v>
      </c>
      <c r="G207" s="325">
        <v>11700</v>
      </c>
      <c r="H207" s="337">
        <v>12750</v>
      </c>
      <c r="I207" s="323"/>
      <c r="J207" s="324"/>
      <c r="K207" s="325"/>
      <c r="L207" s="324"/>
      <c r="M207" s="323"/>
      <c r="N207" s="324"/>
      <c r="O207" s="325"/>
      <c r="P207" s="324"/>
      <c r="Q207" s="323"/>
      <c r="R207" s="324"/>
      <c r="S207" s="325"/>
      <c r="T207" s="324"/>
      <c r="U207" s="323"/>
      <c r="V207" s="324"/>
      <c r="W207" s="325"/>
      <c r="X207" s="324"/>
      <c r="Y207" s="323"/>
      <c r="Z207" s="324"/>
      <c r="AA207" s="325"/>
      <c r="AB207" s="324"/>
      <c r="AC207" s="323"/>
      <c r="AD207" s="324"/>
      <c r="AE207" s="325"/>
      <c r="AF207" s="324"/>
      <c r="AG207" s="323"/>
      <c r="AH207" s="324"/>
      <c r="AI207" s="325"/>
      <c r="AJ207" s="324"/>
      <c r="AK207" s="323"/>
      <c r="AL207" s="324"/>
      <c r="AM207" s="325"/>
      <c r="AN207" s="324"/>
    </row>
    <row r="208" spans="1:40">
      <c r="A208" s="141" t="s">
        <v>135</v>
      </c>
      <c r="B208" s="350" t="s">
        <v>775</v>
      </c>
      <c r="C208" s="215">
        <v>156338</v>
      </c>
      <c r="D208" s="351">
        <v>12</v>
      </c>
      <c r="E208" s="323">
        <v>3630</v>
      </c>
      <c r="F208" s="337">
        <v>3750</v>
      </c>
      <c r="G208" s="325">
        <v>11700</v>
      </c>
      <c r="H208" s="337">
        <v>12750</v>
      </c>
      <c r="I208" s="323"/>
      <c r="J208" s="324"/>
      <c r="K208" s="325"/>
      <c r="L208" s="324"/>
      <c r="M208" s="323"/>
      <c r="N208" s="324"/>
      <c r="O208" s="325"/>
      <c r="P208" s="324"/>
      <c r="Q208" s="323"/>
      <c r="R208" s="324"/>
      <c r="S208" s="325"/>
      <c r="T208" s="324"/>
      <c r="U208" s="323"/>
      <c r="V208" s="324"/>
      <c r="W208" s="325"/>
      <c r="X208" s="324"/>
      <c r="Y208" s="323"/>
      <c r="Z208" s="324"/>
      <c r="AA208" s="325"/>
      <c r="AB208" s="324"/>
      <c r="AC208" s="323"/>
      <c r="AD208" s="324"/>
      <c r="AE208" s="325"/>
      <c r="AF208" s="324"/>
      <c r="AG208" s="323"/>
      <c r="AH208" s="324"/>
      <c r="AI208" s="325"/>
      <c r="AJ208" s="324"/>
      <c r="AK208" s="323"/>
      <c r="AL208" s="324"/>
      <c r="AM208" s="325"/>
      <c r="AN208" s="324"/>
    </row>
    <row r="209" spans="1:40">
      <c r="A209" s="141" t="s">
        <v>135</v>
      </c>
      <c r="B209" s="184" t="s">
        <v>774</v>
      </c>
      <c r="C209" s="214">
        <v>157438</v>
      </c>
      <c r="D209" s="217">
        <v>12</v>
      </c>
      <c r="E209" s="323">
        <v>3630</v>
      </c>
      <c r="F209" s="337">
        <v>3750</v>
      </c>
      <c r="G209" s="325">
        <v>11700</v>
      </c>
      <c r="H209" s="337">
        <v>12750</v>
      </c>
      <c r="I209" s="323"/>
      <c r="J209" s="324"/>
      <c r="K209" s="325"/>
      <c r="L209" s="324"/>
      <c r="M209" s="323"/>
      <c r="N209" s="324"/>
      <c r="O209" s="325"/>
      <c r="P209" s="324"/>
      <c r="Q209" s="323"/>
      <c r="R209" s="324"/>
      <c r="S209" s="325"/>
      <c r="T209" s="324"/>
      <c r="U209" s="323"/>
      <c r="V209" s="324"/>
      <c r="W209" s="325"/>
      <c r="X209" s="324"/>
      <c r="Y209" s="323"/>
      <c r="Z209" s="324"/>
      <c r="AA209" s="325"/>
      <c r="AB209" s="324"/>
      <c r="AC209" s="323"/>
      <c r="AD209" s="324"/>
      <c r="AE209" s="325"/>
      <c r="AF209" s="324"/>
      <c r="AG209" s="323"/>
      <c r="AH209" s="324"/>
      <c r="AI209" s="325"/>
      <c r="AJ209" s="324"/>
      <c r="AK209" s="323"/>
      <c r="AL209" s="324"/>
      <c r="AM209" s="325"/>
      <c r="AN209" s="324"/>
    </row>
    <row r="210" spans="1:40">
      <c r="A210" s="191" t="s">
        <v>212</v>
      </c>
      <c r="B210" s="188" t="s">
        <v>685</v>
      </c>
      <c r="C210" s="187">
        <v>159391</v>
      </c>
      <c r="D210" s="189">
        <v>1</v>
      </c>
      <c r="E210" s="323">
        <v>5086.3999999999996</v>
      </c>
      <c r="F210" s="337">
        <v>5233.3999999999996</v>
      </c>
      <c r="G210" s="325">
        <v>13800.4</v>
      </c>
      <c r="H210" s="337">
        <v>14383.4</v>
      </c>
      <c r="I210" s="323">
        <v>5013.8</v>
      </c>
      <c r="J210" s="324">
        <v>5932.4</v>
      </c>
      <c r="K210" s="325">
        <v>13727.8</v>
      </c>
      <c r="L210" s="324">
        <v>15082.4</v>
      </c>
      <c r="M210" s="323">
        <v>13144.15</v>
      </c>
      <c r="N210" s="324">
        <v>14405.75</v>
      </c>
      <c r="O210" s="325">
        <v>23240.15</v>
      </c>
      <c r="P210" s="324">
        <v>25501.75</v>
      </c>
      <c r="Q210" s="323"/>
      <c r="R210" s="324"/>
      <c r="S210" s="325"/>
      <c r="T210" s="324"/>
      <c r="U210" s="323"/>
      <c r="V210" s="324"/>
      <c r="W210" s="325"/>
      <c r="X210" s="324"/>
      <c r="Y210" s="323"/>
      <c r="Z210" s="324"/>
      <c r="AA210" s="325"/>
      <c r="AB210" s="324"/>
      <c r="AC210" s="323"/>
      <c r="AD210" s="324"/>
      <c r="AE210" s="325"/>
      <c r="AF210" s="324"/>
      <c r="AG210" s="323"/>
      <c r="AH210" s="324"/>
      <c r="AI210" s="325"/>
      <c r="AJ210" s="324"/>
      <c r="AK210" s="323">
        <v>14641.4</v>
      </c>
      <c r="AL210" s="324">
        <v>14641.4</v>
      </c>
      <c r="AM210" s="325">
        <v>38841.4</v>
      </c>
      <c r="AN210" s="324">
        <v>38841.4</v>
      </c>
    </row>
    <row r="211" spans="1:40">
      <c r="A211" s="191" t="s">
        <v>212</v>
      </c>
      <c r="B211" s="190" t="s">
        <v>686</v>
      </c>
      <c r="C211" s="191">
        <v>159647</v>
      </c>
      <c r="D211" s="192">
        <v>2</v>
      </c>
      <c r="E211" s="323">
        <v>4941</v>
      </c>
      <c r="F211" s="337">
        <v>5121</v>
      </c>
      <c r="G211" s="325">
        <v>10941</v>
      </c>
      <c r="H211" s="337">
        <v>11721</v>
      </c>
      <c r="I211" s="323">
        <v>4881</v>
      </c>
      <c r="J211" s="324">
        <v>5811</v>
      </c>
      <c r="K211" s="325">
        <v>8676</v>
      </c>
      <c r="L211" s="324">
        <v>11208</v>
      </c>
      <c r="M211" s="323"/>
      <c r="N211" s="324"/>
      <c r="O211" s="325"/>
      <c r="P211" s="324"/>
      <c r="Q211" s="323"/>
      <c r="R211" s="324"/>
      <c r="S211" s="325"/>
      <c r="T211" s="324"/>
      <c r="U211" s="323"/>
      <c r="V211" s="324"/>
      <c r="W211" s="325"/>
      <c r="X211" s="324"/>
      <c r="Y211" s="323"/>
      <c r="Z211" s="324"/>
      <c r="AA211" s="325"/>
      <c r="AB211" s="324"/>
      <c r="AC211" s="323"/>
      <c r="AD211" s="324"/>
      <c r="AE211" s="325"/>
      <c r="AF211" s="324"/>
      <c r="AG211" s="323"/>
      <c r="AH211" s="324"/>
      <c r="AI211" s="325"/>
      <c r="AJ211" s="324"/>
      <c r="AK211" s="323"/>
      <c r="AL211" s="324"/>
      <c r="AM211" s="325"/>
      <c r="AN211" s="324"/>
    </row>
    <row r="212" spans="1:40">
      <c r="A212" s="191" t="s">
        <v>212</v>
      </c>
      <c r="B212" s="188" t="s">
        <v>687</v>
      </c>
      <c r="C212" s="187">
        <v>160658</v>
      </c>
      <c r="D212" s="189">
        <v>2</v>
      </c>
      <c r="E212" s="323">
        <v>3632</v>
      </c>
      <c r="F212" s="337">
        <v>4033.7</v>
      </c>
      <c r="G212" s="325">
        <v>9812</v>
      </c>
      <c r="H212" s="337">
        <v>12605.7</v>
      </c>
      <c r="I212" s="323">
        <v>3620</v>
      </c>
      <c r="J212" s="324">
        <v>4741.7</v>
      </c>
      <c r="K212" s="325">
        <v>9800</v>
      </c>
      <c r="L212" s="324">
        <v>13313.7</v>
      </c>
      <c r="M212" s="323"/>
      <c r="N212" s="324"/>
      <c r="O212" s="325"/>
      <c r="P212" s="324"/>
      <c r="Q212" s="323"/>
      <c r="R212" s="324"/>
      <c r="S212" s="325"/>
      <c r="T212" s="324"/>
      <c r="U212" s="323"/>
      <c r="V212" s="324"/>
      <c r="W212" s="325"/>
      <c r="X212" s="324"/>
      <c r="Y212" s="323"/>
      <c r="Z212" s="324"/>
      <c r="AA212" s="325"/>
      <c r="AB212" s="324"/>
      <c r="AC212" s="323"/>
      <c r="AD212" s="324"/>
      <c r="AE212" s="325"/>
      <c r="AF212" s="324"/>
      <c r="AG212" s="323"/>
      <c r="AH212" s="324"/>
      <c r="AI212" s="325"/>
      <c r="AJ212" s="324"/>
      <c r="AK212" s="323"/>
      <c r="AL212" s="324"/>
      <c r="AM212" s="325"/>
      <c r="AN212" s="324"/>
    </row>
    <row r="213" spans="1:40">
      <c r="A213" s="191" t="s">
        <v>212</v>
      </c>
      <c r="B213" s="190" t="s">
        <v>688</v>
      </c>
      <c r="C213" s="191">
        <v>159939</v>
      </c>
      <c r="D213" s="192">
        <v>2</v>
      </c>
      <c r="E213" s="323">
        <v>4306</v>
      </c>
      <c r="F213" s="337">
        <v>4372</v>
      </c>
      <c r="G213" s="325">
        <v>11702</v>
      </c>
      <c r="H213" s="337">
        <v>12528</v>
      </c>
      <c r="I213" s="323">
        <v>4222</v>
      </c>
      <c r="J213" s="324">
        <v>5038</v>
      </c>
      <c r="K213" s="325">
        <v>11618</v>
      </c>
      <c r="L213" s="324">
        <v>13194</v>
      </c>
      <c r="M213" s="323"/>
      <c r="N213" s="324"/>
      <c r="O213" s="325"/>
      <c r="P213" s="324"/>
      <c r="Q213" s="323"/>
      <c r="R213" s="324"/>
      <c r="S213" s="325"/>
      <c r="T213" s="324"/>
      <c r="U213" s="323"/>
      <c r="V213" s="324"/>
      <c r="W213" s="325"/>
      <c r="X213" s="324"/>
      <c r="Y213" s="323"/>
      <c r="Z213" s="324"/>
      <c r="AA213" s="325"/>
      <c r="AB213" s="324"/>
      <c r="AC213" s="323"/>
      <c r="AD213" s="324"/>
      <c r="AE213" s="325"/>
      <c r="AF213" s="324"/>
      <c r="AG213" s="323"/>
      <c r="AH213" s="324"/>
      <c r="AI213" s="325"/>
      <c r="AJ213" s="324"/>
      <c r="AK213" s="323"/>
      <c r="AL213" s="324"/>
      <c r="AM213" s="325"/>
      <c r="AN213" s="324"/>
    </row>
    <row r="214" spans="1:40">
      <c r="A214" s="191" t="s">
        <v>212</v>
      </c>
      <c r="B214" s="190" t="s">
        <v>689</v>
      </c>
      <c r="C214" s="191">
        <v>160612</v>
      </c>
      <c r="D214" s="192">
        <v>3</v>
      </c>
      <c r="E214" s="323">
        <v>3400.6</v>
      </c>
      <c r="F214" s="337">
        <v>3654.69</v>
      </c>
      <c r="G214" s="325">
        <v>9400.6</v>
      </c>
      <c r="H214" s="337">
        <v>10910.6</v>
      </c>
      <c r="I214" s="323">
        <v>3360.6</v>
      </c>
      <c r="J214" s="324">
        <v>4154.6000000000004</v>
      </c>
      <c r="K214" s="325">
        <v>9360.6</v>
      </c>
      <c r="L214" s="324">
        <v>11410.6</v>
      </c>
      <c r="M214" s="323"/>
      <c r="N214" s="324"/>
      <c r="O214" s="325"/>
      <c r="P214" s="324"/>
      <c r="Q214" s="323"/>
      <c r="R214" s="324"/>
      <c r="S214" s="325"/>
      <c r="T214" s="324"/>
      <c r="U214" s="323"/>
      <c r="V214" s="324"/>
      <c r="W214" s="325"/>
      <c r="X214" s="324"/>
      <c r="Y214" s="323"/>
      <c r="Z214" s="324"/>
      <c r="AA214" s="325"/>
      <c r="AB214" s="324"/>
      <c r="AC214" s="323"/>
      <c r="AD214" s="324"/>
      <c r="AE214" s="325"/>
      <c r="AF214" s="324"/>
      <c r="AG214" s="323"/>
      <c r="AH214" s="324"/>
      <c r="AI214" s="325"/>
      <c r="AJ214" s="324"/>
      <c r="AK214" s="323"/>
      <c r="AL214" s="324"/>
      <c r="AM214" s="325"/>
      <c r="AN214" s="324"/>
    </row>
    <row r="215" spans="1:40">
      <c r="A215" s="191" t="s">
        <v>212</v>
      </c>
      <c r="B215" s="190" t="s">
        <v>690</v>
      </c>
      <c r="C215" s="191">
        <v>160621</v>
      </c>
      <c r="D215" s="192">
        <v>3</v>
      </c>
      <c r="E215" s="323">
        <v>3906</v>
      </c>
      <c r="F215" s="337">
        <v>4118</v>
      </c>
      <c r="G215" s="325">
        <v>9698</v>
      </c>
      <c r="H215" s="337">
        <v>9910</v>
      </c>
      <c r="I215" s="323">
        <v>3924</v>
      </c>
      <c r="J215" s="324">
        <v>4856</v>
      </c>
      <c r="K215" s="325">
        <v>9090</v>
      </c>
      <c r="L215" s="324">
        <v>10022</v>
      </c>
      <c r="M215" s="323">
        <v>7420</v>
      </c>
      <c r="N215" s="324">
        <v>7920</v>
      </c>
      <c r="O215" s="325">
        <v>12020</v>
      </c>
      <c r="P215" s="324">
        <v>12520</v>
      </c>
      <c r="Q215" s="323"/>
      <c r="R215" s="324"/>
      <c r="S215" s="325"/>
      <c r="T215" s="324"/>
      <c r="U215" s="323"/>
      <c r="V215" s="324"/>
      <c r="W215" s="325"/>
      <c r="X215" s="324"/>
      <c r="Y215" s="323"/>
      <c r="Z215" s="324"/>
      <c r="AA215" s="325"/>
      <c r="AB215" s="324"/>
      <c r="AC215" s="323"/>
      <c r="AD215" s="324"/>
      <c r="AE215" s="325"/>
      <c r="AF215" s="324"/>
      <c r="AG215" s="323"/>
      <c r="AH215" s="324"/>
      <c r="AI215" s="325"/>
      <c r="AJ215" s="324"/>
      <c r="AK215" s="323"/>
      <c r="AL215" s="324"/>
      <c r="AM215" s="325"/>
      <c r="AN215" s="324"/>
    </row>
    <row r="216" spans="1:40">
      <c r="A216" s="191" t="s">
        <v>212</v>
      </c>
      <c r="B216" s="188" t="s">
        <v>691</v>
      </c>
      <c r="C216" s="187">
        <v>159993</v>
      </c>
      <c r="D216" s="189">
        <v>3</v>
      </c>
      <c r="E216" s="323">
        <v>3811.9</v>
      </c>
      <c r="F216" s="337">
        <v>4023.9</v>
      </c>
      <c r="G216" s="325">
        <v>9912.7000000000007</v>
      </c>
      <c r="H216" s="337">
        <v>10773.46</v>
      </c>
      <c r="I216" s="323">
        <v>3814.9</v>
      </c>
      <c r="J216" s="324">
        <v>4018.9</v>
      </c>
      <c r="K216" s="325">
        <v>9918.85</v>
      </c>
      <c r="L216" s="324">
        <v>10775.28</v>
      </c>
      <c r="M216" s="323"/>
      <c r="N216" s="324"/>
      <c r="O216" s="325"/>
      <c r="P216" s="324"/>
      <c r="Q216" s="323"/>
      <c r="R216" s="324"/>
      <c r="S216" s="325"/>
      <c r="T216" s="324"/>
      <c r="U216" s="323"/>
      <c r="V216" s="324"/>
      <c r="W216" s="325"/>
      <c r="X216" s="324"/>
      <c r="Y216" s="323">
        <v>12829.9</v>
      </c>
      <c r="Z216" s="324">
        <v>13667.9</v>
      </c>
      <c r="AA216" s="325">
        <v>23030.7</v>
      </c>
      <c r="AB216" s="324">
        <v>24953.46</v>
      </c>
      <c r="AC216" s="323"/>
      <c r="AD216" s="324"/>
      <c r="AE216" s="325"/>
      <c r="AF216" s="324"/>
      <c r="AG216" s="323"/>
      <c r="AH216" s="324"/>
      <c r="AI216" s="325"/>
      <c r="AJ216" s="324"/>
      <c r="AK216" s="323"/>
      <c r="AL216" s="324"/>
      <c r="AM216" s="325"/>
      <c r="AN216" s="324"/>
    </row>
    <row r="217" spans="1:40">
      <c r="A217" s="191" t="s">
        <v>212</v>
      </c>
      <c r="B217" s="188" t="s">
        <v>692</v>
      </c>
      <c r="C217" s="187">
        <v>159009</v>
      </c>
      <c r="D217" s="189">
        <v>4</v>
      </c>
      <c r="E217" s="323">
        <v>3816</v>
      </c>
      <c r="F217" s="337">
        <v>4016</v>
      </c>
      <c r="G217" s="325">
        <v>9154</v>
      </c>
      <c r="H217" s="337">
        <v>9902</v>
      </c>
      <c r="I217" s="323">
        <v>4606</v>
      </c>
      <c r="J217" s="324">
        <v>4890</v>
      </c>
      <c r="K217" s="325">
        <v>9956</v>
      </c>
      <c r="L217" s="324">
        <v>10776</v>
      </c>
      <c r="M217" s="323"/>
      <c r="N217" s="324"/>
      <c r="O217" s="325"/>
      <c r="P217" s="324"/>
      <c r="Q217" s="323"/>
      <c r="R217" s="324"/>
      <c r="S217" s="325"/>
      <c r="T217" s="324"/>
      <c r="U217" s="323"/>
      <c r="V217" s="324"/>
      <c r="W217" s="325"/>
      <c r="X217" s="324"/>
      <c r="Y217" s="323"/>
      <c r="Z217" s="324"/>
      <c r="AA217" s="325"/>
      <c r="AB217" s="324"/>
      <c r="AC217" s="323"/>
      <c r="AD217" s="324"/>
      <c r="AE217" s="325"/>
      <c r="AF217" s="324"/>
      <c r="AG217" s="323"/>
      <c r="AH217" s="324"/>
      <c r="AI217" s="325"/>
      <c r="AJ217" s="324"/>
      <c r="AK217" s="323"/>
      <c r="AL217" s="324"/>
      <c r="AM217" s="325"/>
      <c r="AN217" s="324"/>
    </row>
    <row r="218" spans="1:40">
      <c r="A218" s="191" t="s">
        <v>212</v>
      </c>
      <c r="B218" s="188" t="s">
        <v>693</v>
      </c>
      <c r="C218" s="187">
        <v>159416</v>
      </c>
      <c r="D218" s="189">
        <v>4</v>
      </c>
      <c r="E218" s="323">
        <v>3687.36</v>
      </c>
      <c r="F218" s="337">
        <v>3925</v>
      </c>
      <c r="G218" s="325">
        <v>8229.84</v>
      </c>
      <c r="H218" s="337">
        <v>8695</v>
      </c>
      <c r="I218" s="323">
        <v>4156.5600000000004</v>
      </c>
      <c r="J218" s="324">
        <v>5105</v>
      </c>
      <c r="K218" s="325">
        <v>9908.4</v>
      </c>
      <c r="L218" s="324">
        <v>11144</v>
      </c>
      <c r="M218" s="323"/>
      <c r="N218" s="324"/>
      <c r="O218" s="325"/>
      <c r="P218" s="324"/>
      <c r="Q218" s="323"/>
      <c r="R218" s="324"/>
      <c r="S218" s="325"/>
      <c r="T218" s="324"/>
      <c r="U218" s="323"/>
      <c r="V218" s="324"/>
      <c r="W218" s="325"/>
      <c r="X218" s="324"/>
      <c r="Y218" s="323"/>
      <c r="Z218" s="324"/>
      <c r="AA218" s="325"/>
      <c r="AB218" s="324"/>
      <c r="AC218" s="323"/>
      <c r="AD218" s="324"/>
      <c r="AE218" s="325"/>
      <c r="AF218" s="324"/>
      <c r="AG218" s="323"/>
      <c r="AH218" s="324"/>
      <c r="AI218" s="325"/>
      <c r="AJ218" s="324"/>
      <c r="AK218" s="323"/>
      <c r="AL218" s="324"/>
      <c r="AM218" s="325"/>
      <c r="AN218" s="324"/>
    </row>
    <row r="219" spans="1:40">
      <c r="A219" s="191" t="s">
        <v>212</v>
      </c>
      <c r="B219" s="190" t="s">
        <v>694</v>
      </c>
      <c r="C219" s="191">
        <v>159717</v>
      </c>
      <c r="D219" s="192">
        <v>4</v>
      </c>
      <c r="E219" s="323">
        <v>3422.5</v>
      </c>
      <c r="F219" s="337">
        <v>3586.5</v>
      </c>
      <c r="G219" s="325">
        <v>9488.5</v>
      </c>
      <c r="H219" s="337">
        <v>10258.5</v>
      </c>
      <c r="I219" s="323">
        <v>3322.5</v>
      </c>
      <c r="J219" s="324">
        <v>4026.5</v>
      </c>
      <c r="K219" s="325">
        <v>9388.5</v>
      </c>
      <c r="L219" s="324">
        <v>10698.5</v>
      </c>
      <c r="M219" s="323"/>
      <c r="N219" s="324"/>
      <c r="O219" s="325"/>
      <c r="P219" s="324"/>
      <c r="Q219" s="323"/>
      <c r="R219" s="324"/>
      <c r="S219" s="325"/>
      <c r="T219" s="324"/>
      <c r="U219" s="323"/>
      <c r="V219" s="324"/>
      <c r="W219" s="325"/>
      <c r="X219" s="324"/>
      <c r="Y219" s="323"/>
      <c r="Z219" s="324"/>
      <c r="AA219" s="325"/>
      <c r="AB219" s="324"/>
      <c r="AC219" s="323"/>
      <c r="AD219" s="324"/>
      <c r="AE219" s="325"/>
      <c r="AF219" s="324"/>
      <c r="AG219" s="323"/>
      <c r="AH219" s="324"/>
      <c r="AI219" s="325"/>
      <c r="AJ219" s="324"/>
      <c r="AK219" s="323"/>
      <c r="AL219" s="324"/>
      <c r="AM219" s="325"/>
      <c r="AN219" s="324"/>
    </row>
    <row r="220" spans="1:40">
      <c r="A220" s="191" t="s">
        <v>212</v>
      </c>
      <c r="B220" s="190" t="s">
        <v>695</v>
      </c>
      <c r="C220" s="191">
        <v>159966</v>
      </c>
      <c r="D220" s="192">
        <v>4</v>
      </c>
      <c r="E220" s="323">
        <v>3771</v>
      </c>
      <c r="F220" s="337">
        <v>3965</v>
      </c>
      <c r="G220" s="325">
        <v>9219</v>
      </c>
      <c r="H220" s="337">
        <v>10433</v>
      </c>
      <c r="I220" s="323">
        <v>3771</v>
      </c>
      <c r="J220" s="324">
        <v>4685</v>
      </c>
      <c r="K220" s="325">
        <v>9219</v>
      </c>
      <c r="L220" s="324">
        <v>11153</v>
      </c>
      <c r="M220" s="323"/>
      <c r="N220" s="324"/>
      <c r="O220" s="325"/>
      <c r="P220" s="324"/>
      <c r="Q220" s="323"/>
      <c r="R220" s="324"/>
      <c r="S220" s="325"/>
      <c r="T220" s="324"/>
      <c r="U220" s="323"/>
      <c r="V220" s="324"/>
      <c r="W220" s="325"/>
      <c r="X220" s="324"/>
      <c r="Y220" s="323"/>
      <c r="Z220" s="324"/>
      <c r="AA220" s="325"/>
      <c r="AB220" s="324"/>
      <c r="AC220" s="323"/>
      <c r="AD220" s="324"/>
      <c r="AE220" s="325"/>
      <c r="AF220" s="324"/>
      <c r="AG220" s="323"/>
      <c r="AH220" s="324"/>
      <c r="AI220" s="325"/>
      <c r="AJ220" s="324"/>
      <c r="AK220" s="323"/>
      <c r="AL220" s="324"/>
      <c r="AM220" s="325"/>
      <c r="AN220" s="324"/>
    </row>
    <row r="221" spans="1:40">
      <c r="A221" s="191" t="s">
        <v>212</v>
      </c>
      <c r="B221" s="188" t="s">
        <v>696</v>
      </c>
      <c r="C221" s="187">
        <v>160038</v>
      </c>
      <c r="D221" s="189">
        <v>4</v>
      </c>
      <c r="E221" s="323">
        <v>3648.6</v>
      </c>
      <c r="F221" s="337">
        <v>3982.6</v>
      </c>
      <c r="G221" s="325">
        <v>9726.6</v>
      </c>
      <c r="H221" s="337">
        <v>10668.6</v>
      </c>
      <c r="I221" s="323">
        <v>3581.6</v>
      </c>
      <c r="J221" s="324">
        <v>4639.6000000000004</v>
      </c>
      <c r="K221" s="325">
        <v>9659.6</v>
      </c>
      <c r="L221" s="324">
        <v>11325.6</v>
      </c>
      <c r="M221" s="323"/>
      <c r="N221" s="324"/>
      <c r="O221" s="325"/>
      <c r="P221" s="324"/>
      <c r="Q221" s="323"/>
      <c r="R221" s="324"/>
      <c r="S221" s="325"/>
      <c r="T221" s="324"/>
      <c r="U221" s="323"/>
      <c r="V221" s="324"/>
      <c r="W221" s="325"/>
      <c r="X221" s="324"/>
      <c r="Y221" s="323"/>
      <c r="Z221" s="324"/>
      <c r="AA221" s="325"/>
      <c r="AB221" s="324"/>
      <c r="AC221" s="323"/>
      <c r="AD221" s="324"/>
      <c r="AE221" s="325"/>
      <c r="AF221" s="324"/>
      <c r="AG221" s="323"/>
      <c r="AH221" s="324"/>
      <c r="AI221" s="325"/>
      <c r="AJ221" s="324"/>
      <c r="AK221" s="323"/>
      <c r="AL221" s="324"/>
      <c r="AM221" s="325"/>
      <c r="AN221" s="324"/>
    </row>
    <row r="222" spans="1:40">
      <c r="A222" s="191" t="s">
        <v>212</v>
      </c>
      <c r="B222" s="352" t="s">
        <v>697</v>
      </c>
      <c r="C222" s="353">
        <v>160630</v>
      </c>
      <c r="D222" s="354">
        <v>4</v>
      </c>
      <c r="E222" s="323">
        <v>2989</v>
      </c>
      <c r="F222" s="337">
        <v>3163.85</v>
      </c>
      <c r="G222" s="325">
        <v>6663</v>
      </c>
      <c r="H222" s="337">
        <v>6901.88</v>
      </c>
      <c r="I222" s="323">
        <v>3801</v>
      </c>
      <c r="J222" s="324">
        <v>4081.85</v>
      </c>
      <c r="K222" s="325">
        <v>6716</v>
      </c>
      <c r="L222" s="324">
        <v>6995.85</v>
      </c>
      <c r="M222" s="323"/>
      <c r="N222" s="324"/>
      <c r="O222" s="325"/>
      <c r="P222" s="324"/>
      <c r="Q222" s="323"/>
      <c r="R222" s="324"/>
      <c r="S222" s="325"/>
      <c r="T222" s="324"/>
      <c r="U222" s="323"/>
      <c r="V222" s="324"/>
      <c r="W222" s="325"/>
      <c r="X222" s="324"/>
      <c r="Y222" s="323"/>
      <c r="Z222" s="324"/>
      <c r="AA222" s="325"/>
      <c r="AB222" s="324"/>
      <c r="AC222" s="323"/>
      <c r="AD222" s="324"/>
      <c r="AE222" s="325"/>
      <c r="AF222" s="324"/>
      <c r="AG222" s="323"/>
      <c r="AH222" s="324"/>
      <c r="AI222" s="325"/>
      <c r="AJ222" s="324"/>
      <c r="AK222" s="323"/>
      <c r="AL222" s="324"/>
      <c r="AM222" s="325"/>
      <c r="AN222" s="324"/>
    </row>
    <row r="223" spans="1:40">
      <c r="A223" s="191" t="s">
        <v>212</v>
      </c>
      <c r="B223" s="190" t="s">
        <v>698</v>
      </c>
      <c r="C223" s="187">
        <v>159382</v>
      </c>
      <c r="D223" s="192">
        <v>7</v>
      </c>
      <c r="E223" s="323">
        <v>3401.5</v>
      </c>
      <c r="F223" s="337">
        <v>3576</v>
      </c>
      <c r="G223" s="325">
        <v>5983.5</v>
      </c>
      <c r="H223" s="337">
        <v>6284</v>
      </c>
      <c r="I223" s="323"/>
      <c r="J223" s="324"/>
      <c r="K223" s="325"/>
      <c r="L223" s="324"/>
      <c r="M223" s="323"/>
      <c r="N223" s="324"/>
      <c r="O223" s="325"/>
      <c r="P223" s="324"/>
      <c r="Q223" s="323"/>
      <c r="R223" s="324"/>
      <c r="S223" s="325"/>
      <c r="T223" s="324"/>
      <c r="U223" s="323"/>
      <c r="V223" s="324"/>
      <c r="W223" s="325"/>
      <c r="X223" s="324"/>
      <c r="Y223" s="323"/>
      <c r="Z223" s="324"/>
      <c r="AA223" s="325"/>
      <c r="AB223" s="324"/>
      <c r="AC223" s="323"/>
      <c r="AD223" s="324"/>
      <c r="AE223" s="325"/>
      <c r="AF223" s="324"/>
      <c r="AG223" s="323"/>
      <c r="AH223" s="324"/>
      <c r="AI223" s="325"/>
      <c r="AJ223" s="324"/>
      <c r="AK223" s="323"/>
      <c r="AL223" s="324"/>
      <c r="AM223" s="325"/>
      <c r="AN223" s="324"/>
    </row>
    <row r="224" spans="1:40">
      <c r="A224" s="191" t="s">
        <v>212</v>
      </c>
      <c r="B224" s="188" t="s">
        <v>699</v>
      </c>
      <c r="C224" s="187">
        <v>158662</v>
      </c>
      <c r="D224" s="189">
        <v>8</v>
      </c>
      <c r="E224" s="323">
        <v>2002</v>
      </c>
      <c r="F224" s="337">
        <v>2102</v>
      </c>
      <c r="G224" s="325">
        <v>4982</v>
      </c>
      <c r="H224" s="337">
        <v>5082</v>
      </c>
      <c r="I224" s="323"/>
      <c r="J224" s="324"/>
      <c r="K224" s="325"/>
      <c r="L224" s="324"/>
      <c r="M224" s="323"/>
      <c r="N224" s="324"/>
      <c r="O224" s="325"/>
      <c r="P224" s="324"/>
      <c r="Q224" s="323"/>
      <c r="R224" s="324"/>
      <c r="S224" s="325"/>
      <c r="T224" s="324"/>
      <c r="U224" s="323"/>
      <c r="V224" s="324"/>
      <c r="W224" s="325"/>
      <c r="X224" s="324"/>
      <c r="Y224" s="323"/>
      <c r="Z224" s="324"/>
      <c r="AA224" s="325"/>
      <c r="AB224" s="324"/>
      <c r="AC224" s="323"/>
      <c r="AD224" s="324"/>
      <c r="AE224" s="325"/>
      <c r="AF224" s="324"/>
      <c r="AG224" s="323"/>
      <c r="AH224" s="324"/>
      <c r="AI224" s="325"/>
      <c r="AJ224" s="324"/>
      <c r="AK224" s="323"/>
      <c r="AL224" s="324"/>
      <c r="AM224" s="325"/>
      <c r="AN224" s="324"/>
    </row>
    <row r="225" spans="1:40">
      <c r="A225" s="191" t="s">
        <v>212</v>
      </c>
      <c r="B225" s="233" t="s">
        <v>700</v>
      </c>
      <c r="C225" s="187">
        <v>437103</v>
      </c>
      <c r="D225" s="189">
        <v>9</v>
      </c>
      <c r="E225" s="323">
        <v>1854</v>
      </c>
      <c r="F225" s="337">
        <v>1968</v>
      </c>
      <c r="G225" s="325">
        <v>4662</v>
      </c>
      <c r="H225" s="337">
        <v>4776</v>
      </c>
      <c r="I225" s="323"/>
      <c r="J225" s="324"/>
      <c r="K225" s="325"/>
      <c r="L225" s="324"/>
      <c r="M225" s="323"/>
      <c r="N225" s="324"/>
      <c r="O225" s="325"/>
      <c r="P225" s="324"/>
      <c r="Q225" s="323"/>
      <c r="R225" s="324"/>
      <c r="S225" s="325"/>
      <c r="T225" s="324"/>
      <c r="U225" s="323"/>
      <c r="V225" s="324"/>
      <c r="W225" s="325"/>
      <c r="X225" s="324"/>
      <c r="Y225" s="323"/>
      <c r="Z225" s="324"/>
      <c r="AA225" s="325"/>
      <c r="AB225" s="324"/>
      <c r="AC225" s="323"/>
      <c r="AD225" s="324"/>
      <c r="AE225" s="325"/>
      <c r="AF225" s="324"/>
      <c r="AG225" s="323"/>
      <c r="AH225" s="324"/>
      <c r="AI225" s="325"/>
      <c r="AJ225" s="324"/>
      <c r="AK225" s="323"/>
      <c r="AL225" s="324"/>
      <c r="AM225" s="325"/>
      <c r="AN225" s="324"/>
    </row>
    <row r="226" spans="1:40">
      <c r="A226" s="191" t="s">
        <v>212</v>
      </c>
      <c r="B226" s="188" t="s">
        <v>701</v>
      </c>
      <c r="C226" s="187">
        <v>158431</v>
      </c>
      <c r="D226" s="189">
        <v>9</v>
      </c>
      <c r="E226" s="323">
        <v>1848</v>
      </c>
      <c r="F226" s="324">
        <v>1940</v>
      </c>
      <c r="G226" s="325">
        <v>3988</v>
      </c>
      <c r="H226" s="324">
        <v>4080</v>
      </c>
      <c r="I226" s="323"/>
      <c r="J226" s="324"/>
      <c r="K226" s="325"/>
      <c r="L226" s="324"/>
      <c r="M226" s="323"/>
      <c r="N226" s="324"/>
      <c r="O226" s="325"/>
      <c r="P226" s="324"/>
      <c r="Q226" s="323"/>
      <c r="R226" s="324"/>
      <c r="S226" s="325"/>
      <c r="T226" s="324"/>
      <c r="U226" s="323"/>
      <c r="V226" s="324"/>
      <c r="W226" s="325"/>
      <c r="X226" s="324"/>
      <c r="Y226" s="323"/>
      <c r="Z226" s="324"/>
      <c r="AA226" s="325"/>
      <c r="AB226" s="324"/>
      <c r="AC226" s="323"/>
      <c r="AD226" s="324"/>
      <c r="AE226" s="325"/>
      <c r="AF226" s="324"/>
      <c r="AG226" s="323"/>
      <c r="AH226" s="324"/>
      <c r="AI226" s="325"/>
      <c r="AJ226" s="324"/>
      <c r="AK226" s="323"/>
      <c r="AL226" s="324"/>
      <c r="AM226" s="325"/>
      <c r="AN226" s="324"/>
    </row>
    <row r="227" spans="1:40">
      <c r="A227" s="191" t="s">
        <v>212</v>
      </c>
      <c r="B227" s="193" t="s">
        <v>702</v>
      </c>
      <c r="C227" s="187">
        <v>159407</v>
      </c>
      <c r="D227" s="189">
        <v>9</v>
      </c>
      <c r="E227" s="323">
        <v>2354.5</v>
      </c>
      <c r="F227" s="324">
        <v>2313</v>
      </c>
      <c r="G227" s="325">
        <v>5444.5</v>
      </c>
      <c r="H227" s="324">
        <v>5493</v>
      </c>
      <c r="I227" s="323"/>
      <c r="J227" s="324"/>
      <c r="K227" s="325"/>
      <c r="L227" s="324"/>
      <c r="M227" s="323"/>
      <c r="N227" s="324"/>
      <c r="O227" s="325"/>
      <c r="P227" s="324"/>
      <c r="Q227" s="323"/>
      <c r="R227" s="324"/>
      <c r="S227" s="325"/>
      <c r="T227" s="324"/>
      <c r="U227" s="323"/>
      <c r="V227" s="324"/>
      <c r="W227" s="325"/>
      <c r="X227" s="324"/>
      <c r="Y227" s="323"/>
      <c r="Z227" s="324"/>
      <c r="AA227" s="325"/>
      <c r="AB227" s="324"/>
      <c r="AC227" s="323"/>
      <c r="AD227" s="324"/>
      <c r="AE227" s="325"/>
      <c r="AF227" s="324"/>
      <c r="AG227" s="323"/>
      <c r="AH227" s="324"/>
      <c r="AI227" s="325"/>
      <c r="AJ227" s="324"/>
      <c r="AK227" s="323"/>
      <c r="AL227" s="324"/>
      <c r="AM227" s="325"/>
      <c r="AN227" s="324"/>
    </row>
    <row r="228" spans="1:40">
      <c r="A228" s="191" t="s">
        <v>212</v>
      </c>
      <c r="B228" s="190" t="s">
        <v>703</v>
      </c>
      <c r="C228" s="191">
        <v>440624</v>
      </c>
      <c r="D228" s="189">
        <v>10</v>
      </c>
      <c r="E228" s="323">
        <v>2078</v>
      </c>
      <c r="F228" s="324">
        <v>2162</v>
      </c>
      <c r="G228" s="325">
        <v>3768</v>
      </c>
      <c r="H228" s="324">
        <v>3936</v>
      </c>
      <c r="I228" s="323"/>
      <c r="J228" s="324"/>
      <c r="K228" s="325"/>
      <c r="L228" s="324"/>
      <c r="M228" s="323"/>
      <c r="N228" s="324"/>
      <c r="O228" s="325"/>
      <c r="P228" s="324"/>
      <c r="Q228" s="323"/>
      <c r="R228" s="324"/>
      <c r="S228" s="325"/>
      <c r="T228" s="324"/>
      <c r="U228" s="323"/>
      <c r="V228" s="324"/>
      <c r="W228" s="325"/>
      <c r="X228" s="324"/>
      <c r="Y228" s="323"/>
      <c r="Z228" s="324"/>
      <c r="AA228" s="325"/>
      <c r="AB228" s="324"/>
      <c r="AC228" s="323"/>
      <c r="AD228" s="324"/>
      <c r="AE228" s="325"/>
      <c r="AF228" s="324"/>
      <c r="AG228" s="323"/>
      <c r="AH228" s="324"/>
      <c r="AI228" s="325"/>
      <c r="AJ228" s="324"/>
      <c r="AK228" s="323"/>
      <c r="AL228" s="324"/>
      <c r="AM228" s="325"/>
      <c r="AN228" s="324"/>
    </row>
    <row r="229" spans="1:40">
      <c r="A229" s="191" t="s">
        <v>212</v>
      </c>
      <c r="B229" s="188" t="s">
        <v>704</v>
      </c>
      <c r="C229" s="187">
        <v>158884</v>
      </c>
      <c r="D229" s="189">
        <v>10</v>
      </c>
      <c r="E229" s="323">
        <v>1858</v>
      </c>
      <c r="F229" s="324">
        <v>1950</v>
      </c>
      <c r="G229" s="325">
        <v>4378</v>
      </c>
      <c r="H229" s="324">
        <v>4470</v>
      </c>
      <c r="I229" s="323"/>
      <c r="J229" s="324"/>
      <c r="K229" s="325"/>
      <c r="L229" s="324"/>
      <c r="M229" s="323"/>
      <c r="N229" s="324"/>
      <c r="O229" s="325"/>
      <c r="P229" s="324"/>
      <c r="Q229" s="323"/>
      <c r="R229" s="324"/>
      <c r="S229" s="325"/>
      <c r="T229" s="324"/>
      <c r="U229" s="323"/>
      <c r="V229" s="324"/>
      <c r="W229" s="325"/>
      <c r="X229" s="324"/>
      <c r="Y229" s="323"/>
      <c r="Z229" s="324"/>
      <c r="AA229" s="325"/>
      <c r="AB229" s="324"/>
      <c r="AC229" s="323"/>
      <c r="AD229" s="324"/>
      <c r="AE229" s="325"/>
      <c r="AF229" s="324"/>
      <c r="AG229" s="323"/>
      <c r="AH229" s="324"/>
      <c r="AI229" s="325"/>
      <c r="AJ229" s="324"/>
      <c r="AK229" s="323"/>
      <c r="AL229" s="324"/>
      <c r="AM229" s="325"/>
      <c r="AN229" s="324"/>
    </row>
    <row r="230" spans="1:40">
      <c r="A230" s="191" t="s">
        <v>212</v>
      </c>
      <c r="B230" s="188" t="s">
        <v>705</v>
      </c>
      <c r="C230" s="187">
        <v>436304</v>
      </c>
      <c r="D230" s="189">
        <v>10</v>
      </c>
      <c r="E230" s="323">
        <v>1976</v>
      </c>
      <c r="F230" s="324">
        <v>2014</v>
      </c>
      <c r="G230" s="325">
        <v>4714</v>
      </c>
      <c r="H230" s="324">
        <v>4164</v>
      </c>
      <c r="I230" s="323"/>
      <c r="J230" s="324"/>
      <c r="K230" s="325"/>
      <c r="L230" s="324"/>
      <c r="M230" s="323"/>
      <c r="N230" s="324"/>
      <c r="O230" s="325"/>
      <c r="P230" s="324"/>
      <c r="Q230" s="323"/>
      <c r="R230" s="324"/>
      <c r="S230" s="325"/>
      <c r="T230" s="324"/>
      <c r="U230" s="323"/>
      <c r="V230" s="324"/>
      <c r="W230" s="325"/>
      <c r="X230" s="324"/>
      <c r="Y230" s="323"/>
      <c r="Z230" s="324"/>
      <c r="AA230" s="325"/>
      <c r="AB230" s="324"/>
      <c r="AC230" s="323"/>
      <c r="AD230" s="324"/>
      <c r="AE230" s="325"/>
      <c r="AF230" s="324"/>
      <c r="AG230" s="323"/>
      <c r="AH230" s="324"/>
      <c r="AI230" s="325"/>
      <c r="AJ230" s="324"/>
      <c r="AK230" s="323"/>
      <c r="AL230" s="324"/>
      <c r="AM230" s="325"/>
      <c r="AN230" s="324"/>
    </row>
    <row r="231" spans="1:40">
      <c r="A231" s="191" t="s">
        <v>212</v>
      </c>
      <c r="B231" s="233" t="s">
        <v>706</v>
      </c>
      <c r="C231" s="187">
        <v>434061</v>
      </c>
      <c r="D231" s="189">
        <v>10</v>
      </c>
      <c r="E231" s="323">
        <v>1936</v>
      </c>
      <c r="F231" s="324">
        <v>2014</v>
      </c>
      <c r="G231" s="325">
        <v>4086</v>
      </c>
      <c r="H231" s="324">
        <v>4164</v>
      </c>
      <c r="I231" s="323"/>
      <c r="J231" s="324"/>
      <c r="K231" s="325"/>
      <c r="L231" s="324"/>
      <c r="M231" s="323"/>
      <c r="N231" s="324"/>
      <c r="O231" s="325"/>
      <c r="P231" s="324"/>
      <c r="Q231" s="323"/>
      <c r="R231" s="324"/>
      <c r="S231" s="325"/>
      <c r="T231" s="324"/>
      <c r="U231" s="323"/>
      <c r="V231" s="324"/>
      <c r="W231" s="325"/>
      <c r="X231" s="324"/>
      <c r="Y231" s="323"/>
      <c r="Z231" s="324"/>
      <c r="AA231" s="325"/>
      <c r="AB231" s="324"/>
      <c r="AC231" s="323"/>
      <c r="AD231" s="324"/>
      <c r="AE231" s="325"/>
      <c r="AF231" s="324"/>
      <c r="AG231" s="323"/>
      <c r="AH231" s="324"/>
      <c r="AI231" s="325"/>
      <c r="AJ231" s="324"/>
      <c r="AK231" s="323"/>
      <c r="AL231" s="324"/>
      <c r="AM231" s="325"/>
      <c r="AN231" s="324"/>
    </row>
    <row r="232" spans="1:40">
      <c r="A232" s="191" t="s">
        <v>212</v>
      </c>
      <c r="B232" s="193" t="s">
        <v>707</v>
      </c>
      <c r="C232" s="211">
        <v>160649</v>
      </c>
      <c r="D232" s="212">
        <v>10</v>
      </c>
      <c r="E232" s="323">
        <v>2318</v>
      </c>
      <c r="F232" s="324">
        <v>2464</v>
      </c>
      <c r="G232" s="325">
        <v>3448</v>
      </c>
      <c r="H232" s="324">
        <v>3594</v>
      </c>
      <c r="I232" s="323"/>
      <c r="J232" s="324"/>
      <c r="K232" s="325"/>
      <c r="L232" s="324"/>
      <c r="M232" s="323"/>
      <c r="N232" s="324"/>
      <c r="O232" s="325"/>
      <c r="P232" s="324"/>
      <c r="Q232" s="323"/>
      <c r="R232" s="324"/>
      <c r="S232" s="325"/>
      <c r="T232" s="324"/>
      <c r="U232" s="323"/>
      <c r="V232" s="324"/>
      <c r="W232" s="325"/>
      <c r="X232" s="324"/>
      <c r="Y232" s="323"/>
      <c r="Z232" s="324"/>
      <c r="AA232" s="325"/>
      <c r="AB232" s="324"/>
      <c r="AC232" s="323"/>
      <c r="AD232" s="324"/>
      <c r="AE232" s="325"/>
      <c r="AF232" s="324"/>
      <c r="AG232" s="323"/>
      <c r="AH232" s="324"/>
      <c r="AI232" s="325"/>
      <c r="AJ232" s="324"/>
      <c r="AK232" s="323"/>
      <c r="AL232" s="324"/>
      <c r="AM232" s="325"/>
      <c r="AN232" s="324"/>
    </row>
    <row r="233" spans="1:40">
      <c r="A233" s="191" t="s">
        <v>212</v>
      </c>
      <c r="B233" s="190" t="s">
        <v>708</v>
      </c>
      <c r="C233" s="187">
        <v>160579</v>
      </c>
      <c r="D233" s="189">
        <v>12</v>
      </c>
      <c r="E233" s="323">
        <v>1522</v>
      </c>
      <c r="F233" s="324">
        <v>1594</v>
      </c>
      <c r="G233" s="325">
        <v>2842</v>
      </c>
      <c r="H233" s="324">
        <v>2986</v>
      </c>
      <c r="I233" s="323"/>
      <c r="J233" s="324"/>
      <c r="K233" s="325"/>
      <c r="L233" s="324"/>
      <c r="M233" s="323"/>
      <c r="N233" s="324"/>
      <c r="O233" s="325"/>
      <c r="P233" s="324"/>
      <c r="Q233" s="323"/>
      <c r="R233" s="324"/>
      <c r="S233" s="325"/>
      <c r="T233" s="324"/>
      <c r="U233" s="323"/>
      <c r="V233" s="324"/>
      <c r="W233" s="325"/>
      <c r="X233" s="324"/>
      <c r="Y233" s="323"/>
      <c r="Z233" s="324"/>
      <c r="AA233" s="325"/>
      <c r="AB233" s="324"/>
      <c r="AC233" s="323"/>
      <c r="AD233" s="324"/>
      <c r="AE233" s="325"/>
      <c r="AF233" s="324"/>
      <c r="AG233" s="323"/>
      <c r="AH233" s="324"/>
      <c r="AI233" s="325"/>
      <c r="AJ233" s="324"/>
      <c r="AK233" s="323"/>
      <c r="AL233" s="324"/>
      <c r="AM233" s="325"/>
      <c r="AN233" s="324"/>
    </row>
    <row r="234" spans="1:40">
      <c r="A234" s="191" t="s">
        <v>212</v>
      </c>
      <c r="B234" s="190" t="s">
        <v>709</v>
      </c>
      <c r="C234" s="187">
        <v>160481</v>
      </c>
      <c r="D234" s="189">
        <v>13</v>
      </c>
      <c r="E234" s="323">
        <v>1552</v>
      </c>
      <c r="F234" s="324">
        <v>1624</v>
      </c>
      <c r="G234" s="325">
        <v>2872</v>
      </c>
      <c r="H234" s="324">
        <v>3016</v>
      </c>
      <c r="I234" s="323"/>
      <c r="J234" s="324"/>
      <c r="K234" s="325"/>
      <c r="L234" s="324"/>
      <c r="M234" s="323"/>
      <c r="N234" s="324"/>
      <c r="O234" s="325"/>
      <c r="P234" s="324"/>
      <c r="Q234" s="323"/>
      <c r="R234" s="324"/>
      <c r="S234" s="325"/>
      <c r="T234" s="324"/>
      <c r="U234" s="323"/>
      <c r="V234" s="324"/>
      <c r="W234" s="325"/>
      <c r="X234" s="324"/>
      <c r="Y234" s="323"/>
      <c r="Z234" s="324"/>
      <c r="AA234" s="325"/>
      <c r="AB234" s="324"/>
      <c r="AC234" s="323"/>
      <c r="AD234" s="324"/>
      <c r="AE234" s="325"/>
      <c r="AF234" s="324"/>
      <c r="AG234" s="323"/>
      <c r="AH234" s="324"/>
      <c r="AI234" s="325"/>
      <c r="AJ234" s="324"/>
      <c r="AK234" s="323"/>
      <c r="AL234" s="324"/>
      <c r="AM234" s="325"/>
      <c r="AN234" s="324"/>
    </row>
    <row r="235" spans="1:40">
      <c r="A235" s="191" t="s">
        <v>212</v>
      </c>
      <c r="B235" s="188" t="s">
        <v>710</v>
      </c>
      <c r="C235" s="187">
        <v>160560</v>
      </c>
      <c r="D235" s="189">
        <v>14</v>
      </c>
      <c r="E235" s="323">
        <v>804</v>
      </c>
      <c r="F235" s="324">
        <v>974</v>
      </c>
      <c r="G235" s="325">
        <v>1394.8</v>
      </c>
      <c r="H235" s="324">
        <v>1604</v>
      </c>
      <c r="I235" s="323"/>
      <c r="J235" s="324"/>
      <c r="K235" s="325"/>
      <c r="L235" s="324"/>
      <c r="M235" s="323"/>
      <c r="N235" s="324"/>
      <c r="O235" s="325"/>
      <c r="P235" s="324"/>
      <c r="Q235" s="323"/>
      <c r="R235" s="324"/>
      <c r="S235" s="325"/>
      <c r="T235" s="324"/>
      <c r="U235" s="323"/>
      <c r="V235" s="324"/>
      <c r="W235" s="325"/>
      <c r="X235" s="324"/>
      <c r="Y235" s="323"/>
      <c r="Z235" s="324"/>
      <c r="AA235" s="325"/>
      <c r="AB235" s="324"/>
      <c r="AC235" s="323"/>
      <c r="AD235" s="324"/>
      <c r="AE235" s="325"/>
      <c r="AF235" s="324"/>
      <c r="AG235" s="323"/>
      <c r="AH235" s="324"/>
      <c r="AI235" s="325"/>
      <c r="AJ235" s="324"/>
      <c r="AK235" s="323"/>
      <c r="AL235" s="324"/>
      <c r="AM235" s="325"/>
      <c r="AN235" s="324"/>
    </row>
    <row r="236" spans="1:40">
      <c r="A236" s="191" t="s">
        <v>212</v>
      </c>
      <c r="B236" s="188" t="s">
        <v>711</v>
      </c>
      <c r="C236" s="187">
        <v>158088</v>
      </c>
      <c r="D236" s="189">
        <v>14</v>
      </c>
      <c r="E236" s="323">
        <v>804</v>
      </c>
      <c r="F236" s="324">
        <v>974</v>
      </c>
      <c r="G236" s="325">
        <v>1394.8</v>
      </c>
      <c r="H236" s="324">
        <v>1604</v>
      </c>
      <c r="I236" s="323"/>
      <c r="J236" s="324"/>
      <c r="K236" s="325"/>
      <c r="L236" s="324"/>
      <c r="M236" s="323"/>
      <c r="N236" s="324"/>
      <c r="O236" s="325"/>
      <c r="P236" s="324"/>
      <c r="Q236" s="323"/>
      <c r="R236" s="324"/>
      <c r="S236" s="325"/>
      <c r="T236" s="324"/>
      <c r="U236" s="323"/>
      <c r="V236" s="324"/>
      <c r="W236" s="325"/>
      <c r="X236" s="324"/>
      <c r="Y236" s="323"/>
      <c r="Z236" s="324"/>
      <c r="AA236" s="325"/>
      <c r="AB236" s="324"/>
      <c r="AC236" s="323"/>
      <c r="AD236" s="324"/>
      <c r="AE236" s="325"/>
      <c r="AF236" s="324"/>
      <c r="AG236" s="323"/>
      <c r="AH236" s="324"/>
      <c r="AI236" s="325"/>
      <c r="AJ236" s="324"/>
      <c r="AK236" s="323"/>
      <c r="AL236" s="324"/>
      <c r="AM236" s="325"/>
      <c r="AN236" s="324"/>
    </row>
    <row r="237" spans="1:40">
      <c r="A237" s="191" t="s">
        <v>212</v>
      </c>
      <c r="B237" s="188" t="s">
        <v>712</v>
      </c>
      <c r="C237" s="187">
        <v>158219</v>
      </c>
      <c r="D237" s="189">
        <v>14</v>
      </c>
      <c r="E237" s="323">
        <v>804</v>
      </c>
      <c r="F237" s="324">
        <v>974</v>
      </c>
      <c r="G237" s="325">
        <v>1394.8</v>
      </c>
      <c r="H237" s="324">
        <v>1604</v>
      </c>
      <c r="I237" s="323"/>
      <c r="J237" s="324"/>
      <c r="K237" s="325"/>
      <c r="L237" s="324"/>
      <c r="M237" s="323"/>
      <c r="N237" s="324"/>
      <c r="O237" s="325"/>
      <c r="P237" s="324"/>
      <c r="Q237" s="323"/>
      <c r="R237" s="324"/>
      <c r="S237" s="325"/>
      <c r="T237" s="324"/>
      <c r="U237" s="323"/>
      <c r="V237" s="324"/>
      <c r="W237" s="325"/>
      <c r="X237" s="324"/>
      <c r="Y237" s="323"/>
      <c r="Z237" s="324"/>
      <c r="AA237" s="325"/>
      <c r="AB237" s="324"/>
      <c r="AC237" s="323"/>
      <c r="AD237" s="324"/>
      <c r="AE237" s="325"/>
      <c r="AF237" s="324"/>
      <c r="AG237" s="323"/>
      <c r="AH237" s="324"/>
      <c r="AI237" s="325"/>
      <c r="AJ237" s="324"/>
      <c r="AK237" s="323"/>
      <c r="AL237" s="324"/>
      <c r="AM237" s="325"/>
      <c r="AN237" s="324"/>
    </row>
    <row r="238" spans="1:40">
      <c r="A238" s="191" t="s">
        <v>212</v>
      </c>
      <c r="B238" s="188" t="s">
        <v>713</v>
      </c>
      <c r="C238" s="187">
        <v>158237</v>
      </c>
      <c r="D238" s="189">
        <v>14</v>
      </c>
      <c r="E238" s="323">
        <v>804</v>
      </c>
      <c r="F238" s="324">
        <v>974</v>
      </c>
      <c r="G238" s="325">
        <v>1394.8</v>
      </c>
      <c r="H238" s="324">
        <v>1604</v>
      </c>
      <c r="I238" s="323"/>
      <c r="J238" s="324"/>
      <c r="K238" s="325"/>
      <c r="L238" s="324"/>
      <c r="M238" s="323"/>
      <c r="N238" s="324"/>
      <c r="O238" s="325"/>
      <c r="P238" s="324"/>
      <c r="Q238" s="323"/>
      <c r="R238" s="324"/>
      <c r="S238" s="325"/>
      <c r="T238" s="324"/>
      <c r="U238" s="323"/>
      <c r="V238" s="324"/>
      <c r="W238" s="325"/>
      <c r="X238" s="324"/>
      <c r="Y238" s="323"/>
      <c r="Z238" s="324"/>
      <c r="AA238" s="325"/>
      <c r="AB238" s="324"/>
      <c r="AC238" s="323"/>
      <c r="AD238" s="324"/>
      <c r="AE238" s="325"/>
      <c r="AF238" s="324"/>
      <c r="AG238" s="323"/>
      <c r="AH238" s="324"/>
      <c r="AI238" s="325"/>
      <c r="AJ238" s="324"/>
      <c r="AK238" s="323"/>
      <c r="AL238" s="324"/>
      <c r="AM238" s="325"/>
      <c r="AN238" s="324"/>
    </row>
    <row r="239" spans="1:40">
      <c r="A239" s="191" t="s">
        <v>212</v>
      </c>
      <c r="B239" s="188" t="s">
        <v>714</v>
      </c>
      <c r="C239" s="187">
        <v>158307</v>
      </c>
      <c r="D239" s="189">
        <v>14</v>
      </c>
      <c r="E239" s="323">
        <v>804</v>
      </c>
      <c r="F239" s="324">
        <v>974</v>
      </c>
      <c r="G239" s="325">
        <v>1394.8</v>
      </c>
      <c r="H239" s="324">
        <v>1604</v>
      </c>
      <c r="I239" s="323"/>
      <c r="J239" s="324"/>
      <c r="K239" s="325"/>
      <c r="L239" s="324"/>
      <c r="M239" s="323"/>
      <c r="N239" s="324"/>
      <c r="O239" s="325"/>
      <c r="P239" s="324"/>
      <c r="Q239" s="323"/>
      <c r="R239" s="324"/>
      <c r="S239" s="325"/>
      <c r="T239" s="324"/>
      <c r="U239" s="323"/>
      <c r="V239" s="324"/>
      <c r="W239" s="325"/>
      <c r="X239" s="324"/>
      <c r="Y239" s="323"/>
      <c r="Z239" s="324"/>
      <c r="AA239" s="325"/>
      <c r="AB239" s="324"/>
      <c r="AC239" s="323"/>
      <c r="AD239" s="324"/>
      <c r="AE239" s="325"/>
      <c r="AF239" s="324"/>
      <c r="AG239" s="323"/>
      <c r="AH239" s="324"/>
      <c r="AI239" s="325"/>
      <c r="AJ239" s="324"/>
      <c r="AK239" s="323"/>
      <c r="AL239" s="324"/>
      <c r="AM239" s="325"/>
      <c r="AN239" s="324"/>
    </row>
    <row r="240" spans="1:40">
      <c r="A240" s="191" t="s">
        <v>212</v>
      </c>
      <c r="B240" s="188" t="s">
        <v>715</v>
      </c>
      <c r="C240" s="187">
        <v>158352</v>
      </c>
      <c r="D240" s="189">
        <v>14</v>
      </c>
      <c r="E240" s="323">
        <v>804</v>
      </c>
      <c r="F240" s="324">
        <v>974</v>
      </c>
      <c r="G240" s="325">
        <v>1394.8</v>
      </c>
      <c r="H240" s="324">
        <v>1604</v>
      </c>
      <c r="I240" s="323"/>
      <c r="J240" s="324"/>
      <c r="K240" s="325"/>
      <c r="L240" s="324"/>
      <c r="M240" s="323"/>
      <c r="N240" s="324"/>
      <c r="O240" s="325"/>
      <c r="P240" s="324"/>
      <c r="Q240" s="323"/>
      <c r="R240" s="324"/>
      <c r="S240" s="325"/>
      <c r="T240" s="324"/>
      <c r="U240" s="323"/>
      <c r="V240" s="324"/>
      <c r="W240" s="325"/>
      <c r="X240" s="324"/>
      <c r="Y240" s="323"/>
      <c r="Z240" s="324"/>
      <c r="AA240" s="325"/>
      <c r="AB240" s="324"/>
      <c r="AC240" s="323"/>
      <c r="AD240" s="324"/>
      <c r="AE240" s="325"/>
      <c r="AF240" s="324"/>
      <c r="AG240" s="323"/>
      <c r="AH240" s="324"/>
      <c r="AI240" s="325"/>
      <c r="AJ240" s="324"/>
      <c r="AK240" s="323"/>
      <c r="AL240" s="324"/>
      <c r="AM240" s="325"/>
      <c r="AN240" s="324"/>
    </row>
    <row r="241" spans="1:45">
      <c r="A241" s="191" t="s">
        <v>212</v>
      </c>
      <c r="B241" s="188" t="s">
        <v>716</v>
      </c>
      <c r="C241" s="187">
        <v>160816</v>
      </c>
      <c r="D241" s="189">
        <v>14</v>
      </c>
      <c r="E241" s="323">
        <v>804</v>
      </c>
      <c r="F241" s="324">
        <v>974</v>
      </c>
      <c r="G241" s="325">
        <v>1394.8</v>
      </c>
      <c r="H241" s="324">
        <v>1604</v>
      </c>
      <c r="I241" s="323"/>
      <c r="J241" s="324"/>
      <c r="K241" s="325"/>
      <c r="L241" s="324"/>
      <c r="M241" s="323"/>
      <c r="N241" s="324"/>
      <c r="O241" s="325"/>
      <c r="P241" s="324"/>
      <c r="Q241" s="323"/>
      <c r="R241" s="324"/>
      <c r="S241" s="325"/>
      <c r="T241" s="324"/>
      <c r="U241" s="323"/>
      <c r="V241" s="324"/>
      <c r="W241" s="325"/>
      <c r="X241" s="324"/>
      <c r="Y241" s="323"/>
      <c r="Z241" s="324"/>
      <c r="AA241" s="325"/>
      <c r="AB241" s="324"/>
      <c r="AC241" s="323"/>
      <c r="AD241" s="324"/>
      <c r="AE241" s="325"/>
      <c r="AF241" s="324"/>
      <c r="AG241" s="323"/>
      <c r="AH241" s="324"/>
      <c r="AI241" s="325"/>
      <c r="AJ241" s="324"/>
      <c r="AK241" s="323"/>
      <c r="AL241" s="324"/>
      <c r="AM241" s="325"/>
      <c r="AN241" s="324"/>
    </row>
    <row r="242" spans="1:45">
      <c r="A242" s="191" t="s">
        <v>212</v>
      </c>
      <c r="B242" s="188" t="s">
        <v>717</v>
      </c>
      <c r="C242" s="187">
        <v>158769</v>
      </c>
      <c r="D242" s="189">
        <v>14</v>
      </c>
      <c r="E242" s="323">
        <v>804</v>
      </c>
      <c r="F242" s="324">
        <v>974</v>
      </c>
      <c r="G242" s="325">
        <v>1394.8</v>
      </c>
      <c r="H242" s="324">
        <v>1604</v>
      </c>
      <c r="I242" s="323"/>
      <c r="J242" s="324"/>
      <c r="K242" s="325"/>
      <c r="L242" s="324"/>
      <c r="M242" s="323"/>
      <c r="N242" s="324"/>
      <c r="O242" s="325"/>
      <c r="P242" s="324"/>
      <c r="Q242" s="323"/>
      <c r="R242" s="324"/>
      <c r="S242" s="325"/>
      <c r="T242" s="324"/>
      <c r="U242" s="323"/>
      <c r="V242" s="324"/>
      <c r="W242" s="325"/>
      <c r="X242" s="324"/>
      <c r="Y242" s="323"/>
      <c r="Z242" s="324"/>
      <c r="AA242" s="325"/>
      <c r="AB242" s="324"/>
      <c r="AC242" s="323"/>
      <c r="AD242" s="324"/>
      <c r="AE242" s="325"/>
      <c r="AF242" s="324"/>
      <c r="AG242" s="323"/>
      <c r="AH242" s="324"/>
      <c r="AI242" s="325"/>
      <c r="AJ242" s="324"/>
      <c r="AK242" s="323"/>
      <c r="AL242" s="324"/>
      <c r="AM242" s="325"/>
      <c r="AN242" s="324"/>
    </row>
    <row r="243" spans="1:45">
      <c r="A243" s="191" t="s">
        <v>212</v>
      </c>
      <c r="B243" s="188" t="s">
        <v>718</v>
      </c>
      <c r="C243" s="187">
        <v>158893</v>
      </c>
      <c r="D243" s="189">
        <v>14</v>
      </c>
      <c r="E243" s="323">
        <v>804</v>
      </c>
      <c r="F243" s="324">
        <v>974</v>
      </c>
      <c r="G243" s="325">
        <v>1394.8</v>
      </c>
      <c r="H243" s="324">
        <v>1604</v>
      </c>
      <c r="I243" s="323"/>
      <c r="J243" s="324"/>
      <c r="K243" s="325"/>
      <c r="L243" s="324"/>
      <c r="M243" s="323"/>
      <c r="N243" s="324"/>
      <c r="O243" s="325"/>
      <c r="P243" s="324"/>
      <c r="Q243" s="323"/>
      <c r="R243" s="324"/>
      <c r="S243" s="325"/>
      <c r="T243" s="324"/>
      <c r="U243" s="323"/>
      <c r="V243" s="324"/>
      <c r="W243" s="325"/>
      <c r="X243" s="324"/>
      <c r="Y243" s="323"/>
      <c r="Z243" s="324"/>
      <c r="AA243" s="325"/>
      <c r="AB243" s="324"/>
      <c r="AC243" s="323"/>
      <c r="AD243" s="324"/>
      <c r="AE243" s="325"/>
      <c r="AF243" s="324"/>
      <c r="AG243" s="323"/>
      <c r="AH243" s="324"/>
      <c r="AI243" s="325"/>
      <c r="AJ243" s="324"/>
      <c r="AK243" s="323"/>
      <c r="AL243" s="324"/>
      <c r="AM243" s="325"/>
      <c r="AN243" s="324"/>
    </row>
    <row r="244" spans="1:45">
      <c r="A244" s="191" t="s">
        <v>212</v>
      </c>
      <c r="B244" s="188" t="s">
        <v>719</v>
      </c>
      <c r="C244" s="187">
        <v>158936</v>
      </c>
      <c r="D244" s="189">
        <v>14</v>
      </c>
      <c r="E244" s="323">
        <v>804</v>
      </c>
      <c r="F244" s="324">
        <v>974</v>
      </c>
      <c r="G244" s="325">
        <v>1394.8</v>
      </c>
      <c r="H244" s="324">
        <v>1604</v>
      </c>
      <c r="I244" s="323"/>
      <c r="J244" s="324"/>
      <c r="K244" s="325"/>
      <c r="L244" s="324"/>
      <c r="M244" s="323"/>
      <c r="N244" s="324"/>
      <c r="O244" s="325"/>
      <c r="P244" s="324"/>
      <c r="Q244" s="323"/>
      <c r="R244" s="324"/>
      <c r="S244" s="325"/>
      <c r="T244" s="324"/>
      <c r="U244" s="323"/>
      <c r="V244" s="324"/>
      <c r="W244" s="325"/>
      <c r="X244" s="324"/>
      <c r="Y244" s="323"/>
      <c r="Z244" s="324"/>
      <c r="AA244" s="325"/>
      <c r="AB244" s="324"/>
      <c r="AC244" s="323"/>
      <c r="AD244" s="324"/>
      <c r="AE244" s="325"/>
      <c r="AF244" s="324"/>
      <c r="AG244" s="323"/>
      <c r="AH244" s="324"/>
      <c r="AI244" s="325"/>
      <c r="AJ244" s="324"/>
      <c r="AK244" s="323"/>
      <c r="AL244" s="324"/>
      <c r="AM244" s="325"/>
      <c r="AN244" s="324"/>
    </row>
    <row r="245" spans="1:45">
      <c r="A245" s="191" t="s">
        <v>212</v>
      </c>
      <c r="B245" s="188" t="s">
        <v>720</v>
      </c>
      <c r="C245" s="187">
        <v>158945</v>
      </c>
      <c r="D245" s="189">
        <v>14</v>
      </c>
      <c r="E245" s="323">
        <v>804</v>
      </c>
      <c r="F245" s="324">
        <v>974</v>
      </c>
      <c r="G245" s="325">
        <v>1394.8</v>
      </c>
      <c r="H245" s="324">
        <v>1604</v>
      </c>
      <c r="I245" s="323"/>
      <c r="J245" s="324"/>
      <c r="K245" s="325"/>
      <c r="L245" s="324"/>
      <c r="M245" s="323"/>
      <c r="N245" s="324"/>
      <c r="O245" s="325"/>
      <c r="P245" s="324"/>
      <c r="Q245" s="323"/>
      <c r="R245" s="324"/>
      <c r="S245" s="325"/>
      <c r="T245" s="324"/>
      <c r="U245" s="323"/>
      <c r="V245" s="324"/>
      <c r="W245" s="325"/>
      <c r="X245" s="324"/>
      <c r="Y245" s="323"/>
      <c r="Z245" s="324"/>
      <c r="AA245" s="325"/>
      <c r="AB245" s="324"/>
      <c r="AC245" s="323"/>
      <c r="AD245" s="324"/>
      <c r="AE245" s="325"/>
      <c r="AF245" s="324"/>
      <c r="AG245" s="323"/>
      <c r="AH245" s="324"/>
      <c r="AI245" s="325"/>
      <c r="AJ245" s="324"/>
      <c r="AK245" s="323"/>
      <c r="AL245" s="324"/>
      <c r="AM245" s="325"/>
      <c r="AN245" s="324"/>
    </row>
    <row r="246" spans="1:45">
      <c r="A246" s="191" t="s">
        <v>212</v>
      </c>
      <c r="B246" s="188" t="s">
        <v>721</v>
      </c>
      <c r="C246" s="187">
        <v>159018</v>
      </c>
      <c r="D246" s="189">
        <v>14</v>
      </c>
      <c r="E246" s="323">
        <v>804</v>
      </c>
      <c r="F246" s="324">
        <v>974</v>
      </c>
      <c r="G246" s="325">
        <v>1394.8</v>
      </c>
      <c r="H246" s="324">
        <v>1604</v>
      </c>
      <c r="I246" s="323"/>
      <c r="J246" s="324"/>
      <c r="K246" s="325"/>
      <c r="L246" s="324"/>
      <c r="M246" s="323"/>
      <c r="N246" s="324"/>
      <c r="O246" s="325"/>
      <c r="P246" s="324"/>
      <c r="Q246" s="323"/>
      <c r="R246" s="324"/>
      <c r="S246" s="325"/>
      <c r="T246" s="324"/>
      <c r="U246" s="323"/>
      <c r="V246" s="324"/>
      <c r="W246" s="325"/>
      <c r="X246" s="324"/>
      <c r="Y246" s="323"/>
      <c r="Z246" s="324"/>
      <c r="AA246" s="325"/>
      <c r="AB246" s="324"/>
      <c r="AC246" s="323"/>
      <c r="AD246" s="324"/>
      <c r="AE246" s="325"/>
      <c r="AF246" s="324"/>
      <c r="AG246" s="323"/>
      <c r="AH246" s="324"/>
      <c r="AI246" s="325"/>
      <c r="AJ246" s="324"/>
      <c r="AK246" s="323"/>
      <c r="AL246" s="324"/>
      <c r="AM246" s="325"/>
      <c r="AN246" s="324"/>
    </row>
    <row r="247" spans="1:45">
      <c r="A247" s="191" t="s">
        <v>212</v>
      </c>
      <c r="B247" s="188" t="s">
        <v>722</v>
      </c>
      <c r="C247" s="187">
        <v>159045</v>
      </c>
      <c r="D247" s="189">
        <v>14</v>
      </c>
      <c r="E247" s="323">
        <v>804</v>
      </c>
      <c r="F247" s="324">
        <v>974</v>
      </c>
      <c r="G247" s="325">
        <v>1394.8</v>
      </c>
      <c r="H247" s="324">
        <v>1604</v>
      </c>
      <c r="I247" s="323"/>
      <c r="J247" s="324"/>
      <c r="K247" s="325"/>
      <c r="L247" s="324"/>
      <c r="M247" s="323"/>
      <c r="N247" s="324"/>
      <c r="O247" s="325"/>
      <c r="P247" s="324"/>
      <c r="Q247" s="323"/>
      <c r="R247" s="324"/>
      <c r="S247" s="325"/>
      <c r="T247" s="324"/>
      <c r="U247" s="323"/>
      <c r="V247" s="324"/>
      <c r="W247" s="325"/>
      <c r="X247" s="324"/>
      <c r="Y247" s="323"/>
      <c r="Z247" s="324"/>
      <c r="AA247" s="325"/>
      <c r="AB247" s="324"/>
      <c r="AC247" s="323"/>
      <c r="AD247" s="324"/>
      <c r="AE247" s="325"/>
      <c r="AF247" s="324"/>
      <c r="AG247" s="323"/>
      <c r="AH247" s="324"/>
      <c r="AI247" s="325"/>
      <c r="AJ247" s="324"/>
      <c r="AK247" s="323"/>
      <c r="AL247" s="324"/>
      <c r="AM247" s="325"/>
      <c r="AN247" s="324"/>
    </row>
    <row r="248" spans="1:45">
      <c r="A248" s="191" t="s">
        <v>212</v>
      </c>
      <c r="B248" s="188" t="s">
        <v>723</v>
      </c>
      <c r="C248" s="187">
        <v>159090</v>
      </c>
      <c r="D248" s="189">
        <v>14</v>
      </c>
      <c r="E248" s="323">
        <v>804</v>
      </c>
      <c r="F248" s="324">
        <v>974</v>
      </c>
      <c r="G248" s="325">
        <v>1394.8</v>
      </c>
      <c r="H248" s="324">
        <v>1604</v>
      </c>
      <c r="I248" s="323"/>
      <c r="J248" s="324"/>
      <c r="K248" s="325"/>
      <c r="L248" s="324"/>
      <c r="M248" s="323"/>
      <c r="N248" s="324"/>
      <c r="O248" s="325"/>
      <c r="P248" s="324"/>
      <c r="Q248" s="323"/>
      <c r="R248" s="324"/>
      <c r="S248" s="325"/>
      <c r="T248" s="324"/>
      <c r="U248" s="323"/>
      <c r="V248" s="324"/>
      <c r="W248" s="325"/>
      <c r="X248" s="324"/>
      <c r="Y248" s="323"/>
      <c r="Z248" s="324"/>
      <c r="AA248" s="325"/>
      <c r="AB248" s="324"/>
      <c r="AC248" s="323"/>
      <c r="AD248" s="324"/>
      <c r="AE248" s="325"/>
      <c r="AF248" s="324"/>
      <c r="AG248" s="323"/>
      <c r="AH248" s="324"/>
      <c r="AI248" s="325"/>
      <c r="AJ248" s="324"/>
      <c r="AK248" s="323"/>
      <c r="AL248" s="324"/>
      <c r="AM248" s="325"/>
      <c r="AN248" s="324"/>
    </row>
    <row r="249" spans="1:45">
      <c r="A249" s="191" t="s">
        <v>212</v>
      </c>
      <c r="B249" s="188" t="s">
        <v>724</v>
      </c>
      <c r="C249" s="187">
        <v>159258</v>
      </c>
      <c r="D249" s="189">
        <v>14</v>
      </c>
      <c r="E249" s="323">
        <v>804</v>
      </c>
      <c r="F249" s="324">
        <v>974</v>
      </c>
      <c r="G249" s="325">
        <v>1394.8</v>
      </c>
      <c r="H249" s="324">
        <v>1604</v>
      </c>
      <c r="I249" s="323"/>
      <c r="J249" s="324"/>
      <c r="K249" s="325"/>
      <c r="L249" s="324"/>
      <c r="M249" s="323"/>
      <c r="N249" s="324"/>
      <c r="O249" s="325"/>
      <c r="P249" s="324"/>
      <c r="Q249" s="323"/>
      <c r="R249" s="324"/>
      <c r="S249" s="325"/>
      <c r="T249" s="324"/>
      <c r="U249" s="323"/>
      <c r="V249" s="324"/>
      <c r="W249" s="325"/>
      <c r="X249" s="324"/>
      <c r="Y249" s="323"/>
      <c r="Z249" s="324"/>
      <c r="AA249" s="325"/>
      <c r="AB249" s="324"/>
      <c r="AC249" s="323"/>
      <c r="AD249" s="324"/>
      <c r="AE249" s="325"/>
      <c r="AF249" s="324"/>
      <c r="AG249" s="323"/>
      <c r="AH249" s="324"/>
      <c r="AI249" s="325"/>
      <c r="AJ249" s="324"/>
      <c r="AK249" s="323"/>
      <c r="AL249" s="324"/>
      <c r="AM249" s="325"/>
      <c r="AN249" s="324"/>
    </row>
    <row r="250" spans="1:45">
      <c r="A250" s="191" t="s">
        <v>212</v>
      </c>
      <c r="B250" s="188" t="s">
        <v>725</v>
      </c>
      <c r="C250" s="187">
        <v>160214</v>
      </c>
      <c r="D250" s="189">
        <v>14</v>
      </c>
      <c r="E250" s="323">
        <v>804</v>
      </c>
      <c r="F250" s="324">
        <v>974</v>
      </c>
      <c r="G250" s="325">
        <v>1394.8</v>
      </c>
      <c r="H250" s="324">
        <v>1604</v>
      </c>
      <c r="I250" s="323"/>
      <c r="J250" s="324"/>
      <c r="K250" s="325"/>
      <c r="L250" s="324"/>
      <c r="M250" s="323"/>
      <c r="N250" s="324"/>
      <c r="O250" s="325"/>
      <c r="P250" s="324"/>
      <c r="Q250" s="323"/>
      <c r="R250" s="324"/>
      <c r="S250" s="325"/>
      <c r="T250" s="324"/>
      <c r="U250" s="323"/>
      <c r="V250" s="324"/>
      <c r="W250" s="325"/>
      <c r="X250" s="324"/>
      <c r="Y250" s="323"/>
      <c r="Z250" s="324"/>
      <c r="AA250" s="325"/>
      <c r="AB250" s="324"/>
      <c r="AC250" s="323"/>
      <c r="AD250" s="324"/>
      <c r="AE250" s="325"/>
      <c r="AF250" s="324"/>
      <c r="AG250" s="323"/>
      <c r="AH250" s="324"/>
      <c r="AI250" s="325"/>
      <c r="AJ250" s="324"/>
      <c r="AK250" s="323"/>
      <c r="AL250" s="324"/>
      <c r="AM250" s="325"/>
      <c r="AN250" s="324"/>
    </row>
    <row r="251" spans="1:45">
      <c r="A251" s="191" t="s">
        <v>212</v>
      </c>
      <c r="B251" s="188" t="s">
        <v>726</v>
      </c>
      <c r="C251" s="187">
        <v>159443</v>
      </c>
      <c r="D251" s="189">
        <v>14</v>
      </c>
      <c r="E251" s="323">
        <v>804</v>
      </c>
      <c r="F251" s="324">
        <v>974</v>
      </c>
      <c r="G251" s="325">
        <v>1394.8</v>
      </c>
      <c r="H251" s="324">
        <v>1604</v>
      </c>
      <c r="I251" s="323"/>
      <c r="J251" s="324"/>
      <c r="K251" s="325"/>
      <c r="L251" s="324"/>
      <c r="M251" s="323"/>
      <c r="N251" s="324"/>
      <c r="O251" s="325"/>
      <c r="P251" s="324"/>
      <c r="Q251" s="323"/>
      <c r="R251" s="324"/>
      <c r="S251" s="325"/>
      <c r="T251" s="324"/>
      <c r="U251" s="323"/>
      <c r="V251" s="324"/>
      <c r="W251" s="325"/>
      <c r="X251" s="324"/>
      <c r="Y251" s="323"/>
      <c r="Z251" s="324"/>
      <c r="AA251" s="325"/>
      <c r="AB251" s="324"/>
      <c r="AC251" s="323"/>
      <c r="AD251" s="324"/>
      <c r="AE251" s="325"/>
      <c r="AF251" s="324"/>
      <c r="AG251" s="323"/>
      <c r="AH251" s="324"/>
      <c r="AI251" s="325"/>
      <c r="AJ251" s="324"/>
      <c r="AK251" s="323"/>
      <c r="AL251" s="324"/>
      <c r="AM251" s="325"/>
      <c r="AN251" s="324"/>
    </row>
    <row r="252" spans="1:45">
      <c r="A252" s="191" t="s">
        <v>212</v>
      </c>
      <c r="B252" s="188" t="s">
        <v>727</v>
      </c>
      <c r="C252" s="187">
        <v>160719</v>
      </c>
      <c r="D252" s="189">
        <v>14</v>
      </c>
      <c r="E252" s="323">
        <v>804</v>
      </c>
      <c r="F252" s="324">
        <v>974</v>
      </c>
      <c r="G252" s="325">
        <v>1394.8</v>
      </c>
      <c r="H252" s="324">
        <v>1604</v>
      </c>
      <c r="I252" s="323"/>
      <c r="J252" s="324"/>
      <c r="K252" s="325"/>
      <c r="L252" s="324"/>
      <c r="M252" s="323"/>
      <c r="N252" s="324"/>
      <c r="O252" s="325"/>
      <c r="P252" s="324"/>
      <c r="Q252" s="323"/>
      <c r="R252" s="324"/>
      <c r="S252" s="325"/>
      <c r="T252" s="324"/>
      <c r="U252" s="323"/>
      <c r="V252" s="324"/>
      <c r="W252" s="325"/>
      <c r="X252" s="324"/>
      <c r="Y252" s="323"/>
      <c r="Z252" s="324"/>
      <c r="AA252" s="325"/>
      <c r="AB252" s="324"/>
      <c r="AC252" s="323"/>
      <c r="AD252" s="324"/>
      <c r="AE252" s="325"/>
      <c r="AF252" s="324"/>
      <c r="AG252" s="323"/>
      <c r="AH252" s="324"/>
      <c r="AI252" s="325"/>
      <c r="AJ252" s="324"/>
      <c r="AK252" s="323"/>
      <c r="AL252" s="324"/>
      <c r="AM252" s="325"/>
      <c r="AN252" s="324"/>
    </row>
    <row r="253" spans="1:45">
      <c r="A253" s="191" t="s">
        <v>212</v>
      </c>
      <c r="B253" s="188" t="s">
        <v>728</v>
      </c>
      <c r="C253" s="187">
        <v>160843</v>
      </c>
      <c r="D253" s="189">
        <v>14</v>
      </c>
      <c r="E253" s="323">
        <v>804</v>
      </c>
      <c r="F253" s="324">
        <v>974</v>
      </c>
      <c r="G253" s="325">
        <v>1394.8</v>
      </c>
      <c r="H253" s="324">
        <v>1604</v>
      </c>
      <c r="I253" s="323"/>
      <c r="J253" s="324"/>
      <c r="K253" s="325"/>
      <c r="L253" s="324"/>
      <c r="M253" s="323"/>
      <c r="N253" s="324"/>
      <c r="O253" s="325"/>
      <c r="P253" s="324"/>
      <c r="Q253" s="323"/>
      <c r="R253" s="324"/>
      <c r="S253" s="325"/>
      <c r="T253" s="324"/>
      <c r="U253" s="323"/>
      <c r="V253" s="324"/>
      <c r="W253" s="325"/>
      <c r="X253" s="324"/>
      <c r="Y253" s="323"/>
      <c r="Z253" s="324"/>
      <c r="AA253" s="325"/>
      <c r="AB253" s="324"/>
      <c r="AC253" s="323"/>
      <c r="AD253" s="324"/>
      <c r="AE253" s="325"/>
      <c r="AF253" s="324"/>
      <c r="AG253" s="323"/>
      <c r="AH253" s="324"/>
      <c r="AI253" s="325"/>
      <c r="AJ253" s="324"/>
      <c r="AK253" s="323"/>
      <c r="AL253" s="324"/>
      <c r="AM253" s="325"/>
      <c r="AN253" s="324"/>
    </row>
    <row r="254" spans="1:45">
      <c r="A254" s="191" t="s">
        <v>212</v>
      </c>
      <c r="B254" s="188" t="s">
        <v>729</v>
      </c>
      <c r="C254" s="187">
        <v>159692</v>
      </c>
      <c r="D254" s="189">
        <v>14</v>
      </c>
      <c r="E254" s="323">
        <v>804</v>
      </c>
      <c r="F254" s="324">
        <v>974</v>
      </c>
      <c r="G254" s="325">
        <v>1394.8</v>
      </c>
      <c r="H254" s="324">
        <v>1604</v>
      </c>
      <c r="I254" s="323"/>
      <c r="J254" s="324"/>
      <c r="K254" s="325"/>
      <c r="L254" s="324"/>
      <c r="M254" s="323"/>
      <c r="N254" s="324"/>
      <c r="O254" s="325"/>
      <c r="P254" s="324"/>
      <c r="Q254" s="323"/>
      <c r="R254" s="324"/>
      <c r="S254" s="325"/>
      <c r="T254" s="324"/>
      <c r="U254" s="323"/>
      <c r="V254" s="324"/>
      <c r="W254" s="325"/>
      <c r="X254" s="324"/>
      <c r="Y254" s="323"/>
      <c r="Z254" s="324"/>
      <c r="AA254" s="325"/>
      <c r="AB254" s="324"/>
      <c r="AC254" s="323"/>
      <c r="AD254" s="324"/>
      <c r="AE254" s="325"/>
      <c r="AF254" s="324"/>
      <c r="AG254" s="323"/>
      <c r="AH254" s="324"/>
      <c r="AI254" s="325"/>
      <c r="AJ254" s="324"/>
      <c r="AK254" s="323"/>
      <c r="AL254" s="324"/>
      <c r="AM254" s="325"/>
      <c r="AN254" s="324"/>
      <c r="AO254" s="451"/>
      <c r="AP254" s="452"/>
      <c r="AQ254" s="452"/>
      <c r="AR254" s="452"/>
      <c r="AS254" s="452"/>
    </row>
    <row r="255" spans="1:45">
      <c r="A255" s="191" t="s">
        <v>212</v>
      </c>
      <c r="B255" s="188" t="s">
        <v>730</v>
      </c>
      <c r="C255" s="187">
        <v>159249</v>
      </c>
      <c r="D255" s="189">
        <v>14</v>
      </c>
      <c r="E255" s="323">
        <v>804</v>
      </c>
      <c r="F255" s="324">
        <v>974</v>
      </c>
      <c r="G255" s="325">
        <v>1394.8</v>
      </c>
      <c r="H255" s="324">
        <v>1604</v>
      </c>
      <c r="I255" s="323"/>
      <c r="J255" s="324"/>
      <c r="K255" s="325"/>
      <c r="L255" s="324"/>
      <c r="M255" s="323"/>
      <c r="N255" s="324"/>
      <c r="O255" s="325"/>
      <c r="P255" s="324"/>
      <c r="Q255" s="323"/>
      <c r="R255" s="324"/>
      <c r="S255" s="325"/>
      <c r="T255" s="324"/>
      <c r="U255" s="323"/>
      <c r="V255" s="324"/>
      <c r="W255" s="325"/>
      <c r="X255" s="324"/>
      <c r="Y255" s="323"/>
      <c r="Z255" s="324"/>
      <c r="AA255" s="325"/>
      <c r="AB255" s="324"/>
      <c r="AC255" s="323"/>
      <c r="AD255" s="324"/>
      <c r="AE255" s="325"/>
      <c r="AF255" s="324"/>
      <c r="AG255" s="323"/>
      <c r="AH255" s="324"/>
      <c r="AI255" s="325"/>
      <c r="AJ255" s="324"/>
      <c r="AK255" s="323"/>
      <c r="AL255" s="324"/>
      <c r="AM255" s="325"/>
      <c r="AN255" s="324"/>
      <c r="AO255" s="451"/>
      <c r="AP255" s="452"/>
      <c r="AQ255" s="452"/>
      <c r="AR255" s="452"/>
      <c r="AS255" s="452"/>
    </row>
    <row r="256" spans="1:45">
      <c r="A256" s="191" t="s">
        <v>212</v>
      </c>
      <c r="B256" s="190" t="s">
        <v>731</v>
      </c>
      <c r="C256" s="191">
        <v>159823</v>
      </c>
      <c r="D256" s="192">
        <v>14</v>
      </c>
      <c r="E256" s="323">
        <v>804</v>
      </c>
      <c r="F256" s="324">
        <v>974</v>
      </c>
      <c r="G256" s="325">
        <v>1394.8</v>
      </c>
      <c r="H256" s="324">
        <v>1604</v>
      </c>
      <c r="I256" s="323"/>
      <c r="J256" s="324"/>
      <c r="K256" s="325"/>
      <c r="L256" s="324"/>
      <c r="M256" s="323"/>
      <c r="N256" s="324"/>
      <c r="O256" s="325"/>
      <c r="P256" s="324"/>
      <c r="Q256" s="323"/>
      <c r="R256" s="324"/>
      <c r="S256" s="325"/>
      <c r="T256" s="324"/>
      <c r="U256" s="323"/>
      <c r="V256" s="324"/>
      <c r="W256" s="325"/>
      <c r="X256" s="324"/>
      <c r="Y256" s="323"/>
      <c r="Z256" s="324"/>
      <c r="AA256" s="325"/>
      <c r="AB256" s="324"/>
      <c r="AC256" s="323"/>
      <c r="AD256" s="324"/>
      <c r="AE256" s="325"/>
      <c r="AF256" s="324"/>
      <c r="AG256" s="323"/>
      <c r="AH256" s="324"/>
      <c r="AI256" s="325"/>
      <c r="AJ256" s="324"/>
      <c r="AK256" s="323"/>
      <c r="AL256" s="324"/>
      <c r="AM256" s="325"/>
      <c r="AN256" s="324"/>
      <c r="AO256" s="456"/>
      <c r="AP256" s="457"/>
      <c r="AQ256" s="457"/>
      <c r="AR256" s="457"/>
      <c r="AS256" s="457"/>
    </row>
    <row r="257" spans="1:45">
      <c r="A257" s="191" t="s">
        <v>212</v>
      </c>
      <c r="B257" s="188" t="s">
        <v>732</v>
      </c>
      <c r="C257" s="187">
        <v>159984</v>
      </c>
      <c r="D257" s="189">
        <v>14</v>
      </c>
      <c r="E257" s="323">
        <v>804</v>
      </c>
      <c r="F257" s="324">
        <v>974</v>
      </c>
      <c r="G257" s="325">
        <v>1394.8</v>
      </c>
      <c r="H257" s="324">
        <v>1604</v>
      </c>
      <c r="I257" s="323"/>
      <c r="J257" s="324"/>
      <c r="K257" s="325"/>
      <c r="L257" s="324"/>
      <c r="M257" s="323"/>
      <c r="N257" s="324"/>
      <c r="O257" s="325"/>
      <c r="P257" s="324"/>
      <c r="Q257" s="323"/>
      <c r="R257" s="324"/>
      <c r="S257" s="325"/>
      <c r="T257" s="324"/>
      <c r="U257" s="323"/>
      <c r="V257" s="324"/>
      <c r="W257" s="325"/>
      <c r="X257" s="324"/>
      <c r="Y257" s="323"/>
      <c r="Z257" s="324"/>
      <c r="AA257" s="325"/>
      <c r="AB257" s="324"/>
      <c r="AC257" s="323"/>
      <c r="AD257" s="324"/>
      <c r="AE257" s="325"/>
      <c r="AF257" s="324"/>
      <c r="AG257" s="323"/>
      <c r="AH257" s="324"/>
      <c r="AI257" s="325"/>
      <c r="AJ257" s="324"/>
      <c r="AK257" s="323"/>
      <c r="AL257" s="324"/>
      <c r="AM257" s="325"/>
      <c r="AN257" s="324"/>
      <c r="AO257" s="453"/>
      <c r="AP257" s="453"/>
      <c r="AQ257" s="453"/>
      <c r="AR257" s="453"/>
      <c r="AS257" s="453"/>
    </row>
    <row r="258" spans="1:45">
      <c r="A258" s="191" t="s">
        <v>212</v>
      </c>
      <c r="B258" s="188" t="s">
        <v>733</v>
      </c>
      <c r="C258" s="187">
        <v>160001</v>
      </c>
      <c r="D258" s="189">
        <v>14</v>
      </c>
      <c r="E258" s="323">
        <v>804</v>
      </c>
      <c r="F258" s="324">
        <v>974</v>
      </c>
      <c r="G258" s="325">
        <v>1394.8</v>
      </c>
      <c r="H258" s="324">
        <v>1604</v>
      </c>
      <c r="I258" s="323"/>
      <c r="J258" s="324"/>
      <c r="K258" s="325"/>
      <c r="L258" s="324"/>
      <c r="M258" s="323"/>
      <c r="N258" s="324"/>
      <c r="O258" s="325"/>
      <c r="P258" s="324"/>
      <c r="Q258" s="323"/>
      <c r="R258" s="324"/>
      <c r="S258" s="325"/>
      <c r="T258" s="324"/>
      <c r="U258" s="323"/>
      <c r="V258" s="324"/>
      <c r="W258" s="325"/>
      <c r="X258" s="324"/>
      <c r="Y258" s="323"/>
      <c r="Z258" s="324"/>
      <c r="AA258" s="325"/>
      <c r="AB258" s="324"/>
      <c r="AC258" s="323"/>
      <c r="AD258" s="324"/>
      <c r="AE258" s="325"/>
      <c r="AF258" s="324"/>
      <c r="AG258" s="323"/>
      <c r="AH258" s="324"/>
      <c r="AI258" s="325"/>
      <c r="AJ258" s="324"/>
      <c r="AK258" s="323"/>
      <c r="AL258" s="324"/>
      <c r="AM258" s="325"/>
      <c r="AN258" s="324"/>
      <c r="AO258" s="453"/>
      <c r="AP258" s="453"/>
      <c r="AQ258" s="453"/>
      <c r="AR258" s="453"/>
      <c r="AS258" s="453"/>
    </row>
    <row r="259" spans="1:45">
      <c r="A259" s="191" t="s">
        <v>212</v>
      </c>
      <c r="B259" s="188" t="s">
        <v>734</v>
      </c>
      <c r="C259" s="187">
        <v>160010</v>
      </c>
      <c r="D259" s="189">
        <v>14</v>
      </c>
      <c r="E259" s="323">
        <v>804</v>
      </c>
      <c r="F259" s="324">
        <v>974</v>
      </c>
      <c r="G259" s="325">
        <v>1394.8</v>
      </c>
      <c r="H259" s="324">
        <v>1604</v>
      </c>
      <c r="I259" s="323"/>
      <c r="J259" s="324"/>
      <c r="K259" s="325"/>
      <c r="L259" s="324"/>
      <c r="M259" s="323"/>
      <c r="N259" s="324"/>
      <c r="O259" s="325"/>
      <c r="P259" s="324"/>
      <c r="Q259" s="323"/>
      <c r="R259" s="324"/>
      <c r="S259" s="325"/>
      <c r="T259" s="324"/>
      <c r="U259" s="323"/>
      <c r="V259" s="324"/>
      <c r="W259" s="325"/>
      <c r="X259" s="324"/>
      <c r="Y259" s="323"/>
      <c r="Z259" s="324"/>
      <c r="AA259" s="325"/>
      <c r="AB259" s="324"/>
      <c r="AC259" s="323"/>
      <c r="AD259" s="324"/>
      <c r="AE259" s="325"/>
      <c r="AF259" s="324"/>
      <c r="AG259" s="323"/>
      <c r="AH259" s="324"/>
      <c r="AI259" s="325"/>
      <c r="AJ259" s="324"/>
      <c r="AK259" s="323"/>
      <c r="AL259" s="324"/>
      <c r="AM259" s="325"/>
      <c r="AN259" s="324"/>
      <c r="AO259" s="453"/>
      <c r="AP259" s="453"/>
      <c r="AQ259" s="453"/>
      <c r="AR259" s="453"/>
      <c r="AS259" s="453"/>
    </row>
    <row r="260" spans="1:45">
      <c r="A260" s="191" t="s">
        <v>212</v>
      </c>
      <c r="B260" s="188" t="s">
        <v>735</v>
      </c>
      <c r="C260" s="187">
        <v>160047</v>
      </c>
      <c r="D260" s="189">
        <v>14</v>
      </c>
      <c r="E260" s="323">
        <v>804</v>
      </c>
      <c r="F260" s="324">
        <v>974</v>
      </c>
      <c r="G260" s="325">
        <v>1394.8</v>
      </c>
      <c r="H260" s="324">
        <v>1604</v>
      </c>
      <c r="I260" s="323"/>
      <c r="J260" s="324"/>
      <c r="K260" s="325"/>
      <c r="L260" s="324"/>
      <c r="M260" s="323"/>
      <c r="N260" s="324"/>
      <c r="O260" s="325"/>
      <c r="P260" s="324"/>
      <c r="Q260" s="323"/>
      <c r="R260" s="324"/>
      <c r="S260" s="325"/>
      <c r="T260" s="324"/>
      <c r="U260" s="323"/>
      <c r="V260" s="324"/>
      <c r="W260" s="325"/>
      <c r="X260" s="324"/>
      <c r="Y260" s="323"/>
      <c r="Z260" s="324"/>
      <c r="AA260" s="325"/>
      <c r="AB260" s="324"/>
      <c r="AC260" s="323"/>
      <c r="AD260" s="324"/>
      <c r="AE260" s="325"/>
      <c r="AF260" s="324"/>
      <c r="AG260" s="323"/>
      <c r="AH260" s="324"/>
      <c r="AI260" s="325"/>
      <c r="AJ260" s="324"/>
      <c r="AK260" s="323"/>
      <c r="AL260" s="324"/>
      <c r="AM260" s="325"/>
      <c r="AN260" s="324"/>
      <c r="AO260" s="453"/>
      <c r="AP260" s="453"/>
      <c r="AQ260" s="453"/>
      <c r="AR260" s="453"/>
      <c r="AS260" s="453"/>
    </row>
    <row r="261" spans="1:45">
      <c r="A261" s="191" t="s">
        <v>212</v>
      </c>
      <c r="B261" s="188" t="s">
        <v>736</v>
      </c>
      <c r="C261" s="187">
        <v>160311</v>
      </c>
      <c r="D261" s="189">
        <v>14</v>
      </c>
      <c r="E261" s="323">
        <v>804</v>
      </c>
      <c r="F261" s="324">
        <v>974</v>
      </c>
      <c r="G261" s="325">
        <v>1394.8</v>
      </c>
      <c r="H261" s="324">
        <v>1604</v>
      </c>
      <c r="I261" s="323"/>
      <c r="J261" s="324"/>
      <c r="K261" s="325"/>
      <c r="L261" s="324"/>
      <c r="M261" s="323"/>
      <c r="N261" s="324"/>
      <c r="O261" s="325"/>
      <c r="P261" s="324"/>
      <c r="Q261" s="323"/>
      <c r="R261" s="324"/>
      <c r="S261" s="325"/>
      <c r="T261" s="324"/>
      <c r="U261" s="323"/>
      <c r="V261" s="324"/>
      <c r="W261" s="325"/>
      <c r="X261" s="324"/>
      <c r="Y261" s="323"/>
      <c r="Z261" s="324"/>
      <c r="AA261" s="325"/>
      <c r="AB261" s="324"/>
      <c r="AC261" s="323"/>
      <c r="AD261" s="324"/>
      <c r="AE261" s="325"/>
      <c r="AF261" s="324"/>
      <c r="AG261" s="323"/>
      <c r="AH261" s="324"/>
      <c r="AI261" s="325"/>
      <c r="AJ261" s="324"/>
      <c r="AK261" s="323"/>
      <c r="AL261" s="324"/>
      <c r="AM261" s="325"/>
      <c r="AN261" s="324"/>
      <c r="AO261" s="453"/>
      <c r="AP261" s="453"/>
      <c r="AQ261" s="453"/>
      <c r="AR261" s="453"/>
      <c r="AS261" s="453"/>
    </row>
    <row r="262" spans="1:45">
      <c r="A262" s="191" t="s">
        <v>212</v>
      </c>
      <c r="B262" s="188" t="s">
        <v>737</v>
      </c>
      <c r="C262" s="187">
        <v>160366</v>
      </c>
      <c r="D262" s="189">
        <v>14</v>
      </c>
      <c r="E262" s="323">
        <v>804</v>
      </c>
      <c r="F262" s="324">
        <v>974</v>
      </c>
      <c r="G262" s="325">
        <v>1394.8</v>
      </c>
      <c r="H262" s="324">
        <v>1604</v>
      </c>
      <c r="I262" s="323"/>
      <c r="J262" s="324"/>
      <c r="K262" s="325"/>
      <c r="L262" s="324"/>
      <c r="M262" s="323"/>
      <c r="N262" s="324"/>
      <c r="O262" s="325"/>
      <c r="P262" s="324"/>
      <c r="Q262" s="323"/>
      <c r="R262" s="324"/>
      <c r="S262" s="325"/>
      <c r="T262" s="324"/>
      <c r="U262" s="323"/>
      <c r="V262" s="324"/>
      <c r="W262" s="325"/>
      <c r="X262" s="324"/>
      <c r="Y262" s="323"/>
      <c r="Z262" s="324"/>
      <c r="AA262" s="325"/>
      <c r="AB262" s="324"/>
      <c r="AC262" s="323"/>
      <c r="AD262" s="324"/>
      <c r="AE262" s="325"/>
      <c r="AF262" s="324"/>
      <c r="AG262" s="323"/>
      <c r="AH262" s="324"/>
      <c r="AI262" s="325"/>
      <c r="AJ262" s="324"/>
      <c r="AK262" s="323"/>
      <c r="AL262" s="324"/>
      <c r="AM262" s="325"/>
      <c r="AN262" s="324"/>
      <c r="AO262" s="453"/>
      <c r="AP262" s="453"/>
      <c r="AQ262" s="453"/>
      <c r="AR262" s="453"/>
      <c r="AS262" s="453"/>
    </row>
    <row r="263" spans="1:45">
      <c r="A263" s="191" t="s">
        <v>212</v>
      </c>
      <c r="B263" s="188" t="s">
        <v>738</v>
      </c>
      <c r="C263" s="187">
        <v>160384</v>
      </c>
      <c r="D263" s="189">
        <v>14</v>
      </c>
      <c r="E263" s="323">
        <v>804</v>
      </c>
      <c r="F263" s="324">
        <v>974</v>
      </c>
      <c r="G263" s="325">
        <v>1394.8</v>
      </c>
      <c r="H263" s="324">
        <v>1604</v>
      </c>
      <c r="I263" s="323"/>
      <c r="J263" s="324"/>
      <c r="K263" s="325"/>
      <c r="L263" s="324"/>
      <c r="M263" s="323"/>
      <c r="N263" s="324"/>
      <c r="O263" s="325"/>
      <c r="P263" s="324"/>
      <c r="Q263" s="323"/>
      <c r="R263" s="324"/>
      <c r="S263" s="325"/>
      <c r="T263" s="324"/>
      <c r="U263" s="323"/>
      <c r="V263" s="324"/>
      <c r="W263" s="325"/>
      <c r="X263" s="324"/>
      <c r="Y263" s="323"/>
      <c r="Z263" s="324"/>
      <c r="AA263" s="325"/>
      <c r="AB263" s="324"/>
      <c r="AC263" s="323"/>
      <c r="AD263" s="324"/>
      <c r="AE263" s="325"/>
      <c r="AF263" s="324"/>
      <c r="AG263" s="323"/>
      <c r="AH263" s="324"/>
      <c r="AI263" s="325"/>
      <c r="AJ263" s="324"/>
      <c r="AK263" s="323"/>
      <c r="AL263" s="324"/>
      <c r="AM263" s="325"/>
      <c r="AN263" s="324"/>
    </row>
    <row r="264" spans="1:45">
      <c r="A264" s="191" t="s">
        <v>212</v>
      </c>
      <c r="B264" s="188" t="s">
        <v>739</v>
      </c>
      <c r="C264" s="187">
        <v>158583</v>
      </c>
      <c r="D264" s="189">
        <v>14</v>
      </c>
      <c r="E264" s="323">
        <v>804</v>
      </c>
      <c r="F264" s="324">
        <v>974</v>
      </c>
      <c r="G264" s="325">
        <v>1394.8</v>
      </c>
      <c r="H264" s="324">
        <v>1604</v>
      </c>
      <c r="I264" s="323"/>
      <c r="J264" s="324"/>
      <c r="K264" s="325"/>
      <c r="L264" s="324"/>
      <c r="M264" s="323"/>
      <c r="N264" s="324"/>
      <c r="O264" s="325"/>
      <c r="P264" s="324"/>
      <c r="Q264" s="323"/>
      <c r="R264" s="324"/>
      <c r="S264" s="325"/>
      <c r="T264" s="324"/>
      <c r="U264" s="323"/>
      <c r="V264" s="324"/>
      <c r="W264" s="325"/>
      <c r="X264" s="324"/>
      <c r="Y264" s="323"/>
      <c r="Z264" s="324"/>
      <c r="AA264" s="325"/>
      <c r="AB264" s="324"/>
      <c r="AC264" s="323"/>
      <c r="AD264" s="324"/>
      <c r="AE264" s="325"/>
      <c r="AF264" s="324"/>
      <c r="AG264" s="323"/>
      <c r="AH264" s="324"/>
      <c r="AI264" s="325"/>
      <c r="AJ264" s="324"/>
      <c r="AK264" s="323"/>
      <c r="AL264" s="324"/>
      <c r="AM264" s="325"/>
      <c r="AN264" s="324"/>
    </row>
    <row r="265" spans="1:45">
      <c r="A265" s="191" t="s">
        <v>212</v>
      </c>
      <c r="B265" s="188" t="s">
        <v>740</v>
      </c>
      <c r="C265" s="187">
        <v>160427</v>
      </c>
      <c r="D265" s="189">
        <v>14</v>
      </c>
      <c r="E265" s="323">
        <v>804</v>
      </c>
      <c r="F265" s="324">
        <v>974</v>
      </c>
      <c r="G265" s="325">
        <v>1394.8</v>
      </c>
      <c r="H265" s="324">
        <v>1604</v>
      </c>
      <c r="I265" s="323"/>
      <c r="J265" s="324"/>
      <c r="K265" s="325"/>
      <c r="L265" s="324"/>
      <c r="M265" s="323"/>
      <c r="N265" s="324"/>
      <c r="O265" s="325"/>
      <c r="P265" s="324"/>
      <c r="Q265" s="323"/>
      <c r="R265" s="324"/>
      <c r="S265" s="325"/>
      <c r="T265" s="324"/>
      <c r="U265" s="323"/>
      <c r="V265" s="324"/>
      <c r="W265" s="325"/>
      <c r="X265" s="324"/>
      <c r="Y265" s="323"/>
      <c r="Z265" s="324"/>
      <c r="AA265" s="325"/>
      <c r="AB265" s="324"/>
      <c r="AC265" s="323"/>
      <c r="AD265" s="324"/>
      <c r="AE265" s="325"/>
      <c r="AF265" s="324"/>
      <c r="AG265" s="323"/>
      <c r="AH265" s="324"/>
      <c r="AI265" s="325"/>
      <c r="AJ265" s="324"/>
      <c r="AK265" s="323"/>
      <c r="AL265" s="324"/>
      <c r="AM265" s="325"/>
      <c r="AN265" s="324"/>
    </row>
    <row r="266" spans="1:45">
      <c r="A266" s="191" t="s">
        <v>212</v>
      </c>
      <c r="B266" s="188" t="s">
        <v>741</v>
      </c>
      <c r="C266" s="187">
        <v>160436</v>
      </c>
      <c r="D266" s="189">
        <v>14</v>
      </c>
      <c r="E266" s="323">
        <v>804</v>
      </c>
      <c r="F266" s="324">
        <v>974</v>
      </c>
      <c r="G266" s="325">
        <v>1394.8</v>
      </c>
      <c r="H266" s="324">
        <v>1604</v>
      </c>
      <c r="I266" s="323"/>
      <c r="J266" s="324"/>
      <c r="K266" s="325"/>
      <c r="L266" s="324"/>
      <c r="M266" s="323"/>
      <c r="N266" s="324"/>
      <c r="O266" s="325"/>
      <c r="P266" s="324"/>
      <c r="Q266" s="323"/>
      <c r="R266" s="324"/>
      <c r="S266" s="325"/>
      <c r="T266" s="324"/>
      <c r="U266" s="323"/>
      <c r="V266" s="324"/>
      <c r="W266" s="325"/>
      <c r="X266" s="324"/>
      <c r="Y266" s="323"/>
      <c r="Z266" s="324"/>
      <c r="AA266" s="325"/>
      <c r="AB266" s="324"/>
      <c r="AC266" s="323"/>
      <c r="AD266" s="324"/>
      <c r="AE266" s="325"/>
      <c r="AF266" s="324"/>
      <c r="AG266" s="323"/>
      <c r="AH266" s="324"/>
      <c r="AI266" s="325"/>
      <c r="AJ266" s="324"/>
      <c r="AK266" s="323"/>
      <c r="AL266" s="324"/>
      <c r="AM266" s="325"/>
      <c r="AN266" s="324"/>
    </row>
    <row r="267" spans="1:45">
      <c r="A267" s="191" t="s">
        <v>212</v>
      </c>
      <c r="B267" s="188" t="s">
        <v>742</v>
      </c>
      <c r="C267" s="187">
        <v>160454</v>
      </c>
      <c r="D267" s="189">
        <v>14</v>
      </c>
      <c r="E267" s="323">
        <v>804</v>
      </c>
      <c r="F267" s="324">
        <v>974</v>
      </c>
      <c r="G267" s="325">
        <v>1394.8</v>
      </c>
      <c r="H267" s="324">
        <v>1604</v>
      </c>
      <c r="I267" s="323"/>
      <c r="J267" s="324"/>
      <c r="K267" s="325"/>
      <c r="L267" s="324"/>
      <c r="M267" s="323"/>
      <c r="N267" s="324"/>
      <c r="O267" s="325"/>
      <c r="P267" s="324"/>
      <c r="Q267" s="323"/>
      <c r="R267" s="324"/>
      <c r="S267" s="325"/>
      <c r="T267" s="324"/>
      <c r="U267" s="323"/>
      <c r="V267" s="324"/>
      <c r="W267" s="325"/>
      <c r="X267" s="324"/>
      <c r="Y267" s="323"/>
      <c r="Z267" s="324"/>
      <c r="AA267" s="325"/>
      <c r="AB267" s="324"/>
      <c r="AC267" s="323"/>
      <c r="AD267" s="324"/>
      <c r="AE267" s="325"/>
      <c r="AF267" s="324"/>
      <c r="AG267" s="323"/>
      <c r="AH267" s="324"/>
      <c r="AI267" s="325"/>
      <c r="AJ267" s="324"/>
      <c r="AK267" s="323"/>
      <c r="AL267" s="324"/>
      <c r="AM267" s="325"/>
      <c r="AN267" s="324"/>
    </row>
    <row r="268" spans="1:45">
      <c r="A268" s="191" t="s">
        <v>212</v>
      </c>
      <c r="B268" s="188" t="s">
        <v>743</v>
      </c>
      <c r="C268" s="187">
        <v>160667</v>
      </c>
      <c r="D268" s="189">
        <v>14</v>
      </c>
      <c r="E268" s="323">
        <v>804</v>
      </c>
      <c r="F268" s="324">
        <v>974</v>
      </c>
      <c r="G268" s="325">
        <v>1394.8</v>
      </c>
      <c r="H268" s="324">
        <v>1604</v>
      </c>
      <c r="I268" s="323"/>
      <c r="J268" s="324"/>
      <c r="K268" s="325"/>
      <c r="L268" s="324"/>
      <c r="M268" s="323"/>
      <c r="N268" s="324"/>
      <c r="O268" s="325"/>
      <c r="P268" s="324"/>
      <c r="Q268" s="323"/>
      <c r="R268" s="324"/>
      <c r="S268" s="325"/>
      <c r="T268" s="324"/>
      <c r="U268" s="323"/>
      <c r="V268" s="324"/>
      <c r="W268" s="325"/>
      <c r="X268" s="324"/>
      <c r="Y268" s="323"/>
      <c r="Z268" s="324"/>
      <c r="AA268" s="325"/>
      <c r="AB268" s="324"/>
      <c r="AC268" s="323"/>
      <c r="AD268" s="324"/>
      <c r="AE268" s="325"/>
      <c r="AF268" s="324"/>
      <c r="AG268" s="323"/>
      <c r="AH268" s="324"/>
      <c r="AI268" s="325"/>
      <c r="AJ268" s="324"/>
      <c r="AK268" s="323"/>
      <c r="AL268" s="324"/>
      <c r="AM268" s="325"/>
      <c r="AN268" s="324"/>
    </row>
    <row r="269" spans="1:45">
      <c r="A269" s="191" t="s">
        <v>212</v>
      </c>
      <c r="B269" s="188" t="s">
        <v>744</v>
      </c>
      <c r="C269" s="187">
        <v>160676</v>
      </c>
      <c r="D269" s="189">
        <v>14</v>
      </c>
      <c r="E269" s="323">
        <v>804</v>
      </c>
      <c r="F269" s="324">
        <v>974</v>
      </c>
      <c r="G269" s="325">
        <v>1394.8</v>
      </c>
      <c r="H269" s="324">
        <v>1604</v>
      </c>
      <c r="I269" s="323"/>
      <c r="J269" s="324"/>
      <c r="K269" s="325"/>
      <c r="L269" s="324"/>
      <c r="M269" s="323"/>
      <c r="N269" s="324"/>
      <c r="O269" s="325"/>
      <c r="P269" s="324"/>
      <c r="Q269" s="323"/>
      <c r="R269" s="324"/>
      <c r="S269" s="325"/>
      <c r="T269" s="324"/>
      <c r="U269" s="323"/>
      <c r="V269" s="324"/>
      <c r="W269" s="325"/>
      <c r="X269" s="324"/>
      <c r="Y269" s="323"/>
      <c r="Z269" s="324"/>
      <c r="AA269" s="325"/>
      <c r="AB269" s="324"/>
      <c r="AC269" s="323"/>
      <c r="AD269" s="324"/>
      <c r="AE269" s="325"/>
      <c r="AF269" s="324"/>
      <c r="AG269" s="323"/>
      <c r="AH269" s="324"/>
      <c r="AI269" s="325"/>
      <c r="AJ269" s="324"/>
      <c r="AK269" s="323"/>
      <c r="AL269" s="324"/>
      <c r="AM269" s="325"/>
      <c r="AN269" s="324"/>
    </row>
    <row r="270" spans="1:45">
      <c r="A270" s="191" t="s">
        <v>212</v>
      </c>
      <c r="B270" s="188" t="s">
        <v>745</v>
      </c>
      <c r="C270" s="187">
        <v>160685</v>
      </c>
      <c r="D270" s="189">
        <v>14</v>
      </c>
      <c r="E270" s="323">
        <v>804</v>
      </c>
      <c r="F270" s="324">
        <v>974</v>
      </c>
      <c r="G270" s="325">
        <v>1394.8</v>
      </c>
      <c r="H270" s="324">
        <v>1604</v>
      </c>
      <c r="I270" s="323"/>
      <c r="J270" s="324"/>
      <c r="K270" s="325"/>
      <c r="L270" s="324"/>
      <c r="M270" s="323"/>
      <c r="N270" s="324"/>
      <c r="O270" s="325"/>
      <c r="P270" s="324"/>
      <c r="Q270" s="323"/>
      <c r="R270" s="324"/>
      <c r="S270" s="325"/>
      <c r="T270" s="324"/>
      <c r="U270" s="323"/>
      <c r="V270" s="324"/>
      <c r="W270" s="325"/>
      <c r="X270" s="324"/>
      <c r="Y270" s="323"/>
      <c r="Z270" s="324"/>
      <c r="AA270" s="325"/>
      <c r="AB270" s="324"/>
      <c r="AC270" s="323"/>
      <c r="AD270" s="324"/>
      <c r="AE270" s="325"/>
      <c r="AF270" s="324"/>
      <c r="AG270" s="323"/>
      <c r="AH270" s="324"/>
      <c r="AI270" s="325"/>
      <c r="AJ270" s="324"/>
      <c r="AK270" s="323"/>
      <c r="AL270" s="324"/>
      <c r="AM270" s="325"/>
      <c r="AN270" s="324"/>
    </row>
    <row r="271" spans="1:45">
      <c r="A271" s="191" t="s">
        <v>212</v>
      </c>
      <c r="B271" s="188" t="s">
        <v>746</v>
      </c>
      <c r="C271" s="187">
        <v>160694</v>
      </c>
      <c r="D271" s="189">
        <v>14</v>
      </c>
      <c r="E271" s="323">
        <v>804</v>
      </c>
      <c r="F271" s="324">
        <v>974</v>
      </c>
      <c r="G271" s="325">
        <v>1394.8</v>
      </c>
      <c r="H271" s="324">
        <v>1604</v>
      </c>
      <c r="I271" s="323"/>
      <c r="J271" s="324"/>
      <c r="K271" s="325"/>
      <c r="L271" s="324"/>
      <c r="M271" s="323"/>
      <c r="N271" s="324"/>
      <c r="O271" s="325"/>
      <c r="P271" s="324"/>
      <c r="Q271" s="323"/>
      <c r="R271" s="324"/>
      <c r="S271" s="325"/>
      <c r="T271" s="324"/>
      <c r="U271" s="323"/>
      <c r="V271" s="324"/>
      <c r="W271" s="325"/>
      <c r="X271" s="324"/>
      <c r="Y271" s="323"/>
      <c r="Z271" s="324"/>
      <c r="AA271" s="325"/>
      <c r="AB271" s="324"/>
      <c r="AC271" s="323"/>
      <c r="AD271" s="324"/>
      <c r="AE271" s="325"/>
      <c r="AF271" s="324"/>
      <c r="AG271" s="323"/>
      <c r="AH271" s="324"/>
      <c r="AI271" s="325"/>
      <c r="AJ271" s="324"/>
      <c r="AK271" s="323"/>
      <c r="AL271" s="324"/>
      <c r="AM271" s="325"/>
      <c r="AN271" s="324"/>
    </row>
    <row r="272" spans="1:45">
      <c r="A272" s="191" t="s">
        <v>212</v>
      </c>
      <c r="B272" s="188" t="s">
        <v>747</v>
      </c>
      <c r="C272" s="187">
        <v>159267</v>
      </c>
      <c r="D272" s="189">
        <v>14</v>
      </c>
      <c r="E272" s="323">
        <v>804</v>
      </c>
      <c r="F272" s="324">
        <v>974</v>
      </c>
      <c r="G272" s="325">
        <v>1394.8</v>
      </c>
      <c r="H272" s="324">
        <v>1604</v>
      </c>
      <c r="I272" s="323"/>
      <c r="J272" s="324"/>
      <c r="K272" s="325"/>
      <c r="L272" s="324"/>
      <c r="M272" s="323"/>
      <c r="N272" s="324"/>
      <c r="O272" s="325"/>
      <c r="P272" s="324"/>
      <c r="Q272" s="323"/>
      <c r="R272" s="324"/>
      <c r="S272" s="325"/>
      <c r="T272" s="324"/>
      <c r="U272" s="323"/>
      <c r="V272" s="324"/>
      <c r="W272" s="325"/>
      <c r="X272" s="324"/>
      <c r="Y272" s="323"/>
      <c r="Z272" s="324"/>
      <c r="AA272" s="325"/>
      <c r="AB272" s="324"/>
      <c r="AC272" s="323"/>
      <c r="AD272" s="324"/>
      <c r="AE272" s="325"/>
      <c r="AF272" s="324"/>
      <c r="AG272" s="323"/>
      <c r="AH272" s="324"/>
      <c r="AI272" s="325"/>
      <c r="AJ272" s="324"/>
      <c r="AK272" s="323"/>
      <c r="AL272" s="324"/>
      <c r="AM272" s="325"/>
      <c r="AN272" s="324"/>
    </row>
    <row r="273" spans="1:40">
      <c r="A273" s="191" t="s">
        <v>212</v>
      </c>
      <c r="B273" s="188" t="s">
        <v>748</v>
      </c>
      <c r="C273" s="187">
        <v>160870</v>
      </c>
      <c r="D273" s="189">
        <v>14</v>
      </c>
      <c r="E273" s="323">
        <v>804</v>
      </c>
      <c r="F273" s="324">
        <v>974</v>
      </c>
      <c r="G273" s="325">
        <v>1394.8</v>
      </c>
      <c r="H273" s="324">
        <v>1604</v>
      </c>
      <c r="I273" s="323"/>
      <c r="J273" s="324"/>
      <c r="K273" s="325"/>
      <c r="L273" s="324"/>
      <c r="M273" s="323"/>
      <c r="N273" s="324"/>
      <c r="O273" s="325"/>
      <c r="P273" s="324"/>
      <c r="Q273" s="323"/>
      <c r="R273" s="324"/>
      <c r="S273" s="325"/>
      <c r="T273" s="324"/>
      <c r="U273" s="323"/>
      <c r="V273" s="324"/>
      <c r="W273" s="325"/>
      <c r="X273" s="324"/>
      <c r="Y273" s="323"/>
      <c r="Z273" s="324"/>
      <c r="AA273" s="325"/>
      <c r="AB273" s="324"/>
      <c r="AC273" s="323"/>
      <c r="AD273" s="324"/>
      <c r="AE273" s="325"/>
      <c r="AF273" s="324"/>
      <c r="AG273" s="323"/>
      <c r="AH273" s="324"/>
      <c r="AI273" s="325"/>
      <c r="AJ273" s="324"/>
      <c r="AK273" s="323"/>
      <c r="AL273" s="324"/>
      <c r="AM273" s="325"/>
      <c r="AN273" s="324"/>
    </row>
    <row r="274" spans="1:40">
      <c r="A274" s="191" t="s">
        <v>212</v>
      </c>
      <c r="B274" s="188" t="s">
        <v>749</v>
      </c>
      <c r="C274" s="187">
        <v>160913</v>
      </c>
      <c r="D274" s="189">
        <v>14</v>
      </c>
      <c r="E274" s="323">
        <v>804</v>
      </c>
      <c r="F274" s="324">
        <v>974</v>
      </c>
      <c r="G274" s="325">
        <v>1394.8</v>
      </c>
      <c r="H274" s="324">
        <v>1604</v>
      </c>
      <c r="I274" s="323"/>
      <c r="J274" s="324"/>
      <c r="K274" s="325"/>
      <c r="L274" s="324"/>
      <c r="M274" s="323"/>
      <c r="N274" s="324"/>
      <c r="O274" s="325"/>
      <c r="P274" s="324"/>
      <c r="Q274" s="323"/>
      <c r="R274" s="324"/>
      <c r="S274" s="325"/>
      <c r="T274" s="324"/>
      <c r="U274" s="323"/>
      <c r="V274" s="324"/>
      <c r="W274" s="325"/>
      <c r="X274" s="324"/>
      <c r="Y274" s="323"/>
      <c r="Z274" s="324"/>
      <c r="AA274" s="325"/>
      <c r="AB274" s="324"/>
      <c r="AC274" s="323"/>
      <c r="AD274" s="324"/>
      <c r="AE274" s="325"/>
      <c r="AF274" s="324"/>
      <c r="AG274" s="323"/>
      <c r="AH274" s="324"/>
      <c r="AI274" s="325"/>
      <c r="AJ274" s="324"/>
      <c r="AK274" s="323"/>
      <c r="AL274" s="324"/>
      <c r="AM274" s="325"/>
      <c r="AN274" s="324"/>
    </row>
    <row r="275" spans="1:40">
      <c r="A275" s="191" t="s">
        <v>212</v>
      </c>
      <c r="B275" s="188" t="s">
        <v>750</v>
      </c>
      <c r="C275" s="187">
        <v>159373</v>
      </c>
      <c r="D275" s="189">
        <v>15</v>
      </c>
      <c r="E275" s="323"/>
      <c r="F275" s="324"/>
      <c r="G275" s="325"/>
      <c r="H275" s="324"/>
      <c r="I275" s="323"/>
      <c r="J275" s="324"/>
      <c r="K275" s="325"/>
      <c r="L275" s="324"/>
      <c r="M275" s="323"/>
      <c r="N275" s="324"/>
      <c r="O275" s="325"/>
      <c r="P275" s="324"/>
      <c r="Q275" s="323">
        <v>13361</v>
      </c>
      <c r="R275" s="324">
        <v>14029</v>
      </c>
      <c r="S275" s="325">
        <v>27509</v>
      </c>
      <c r="T275" s="324">
        <v>29625</v>
      </c>
      <c r="U275" s="323">
        <v>10866</v>
      </c>
      <c r="V275" s="324">
        <v>12000</v>
      </c>
      <c r="W275" s="325">
        <v>23260</v>
      </c>
      <c r="X275" s="324">
        <v>25640</v>
      </c>
      <c r="Y275" s="323"/>
      <c r="Z275" s="324"/>
      <c r="AA275" s="325"/>
      <c r="AB275" s="324"/>
      <c r="AC275" s="323"/>
      <c r="AD275" s="324"/>
      <c r="AE275" s="325"/>
      <c r="AF275" s="324"/>
      <c r="AG275" s="323"/>
      <c r="AH275" s="324"/>
      <c r="AI275" s="325"/>
      <c r="AJ275" s="324"/>
      <c r="AK275" s="323"/>
      <c r="AL275" s="324"/>
      <c r="AM275" s="325"/>
      <c r="AN275" s="324"/>
    </row>
    <row r="276" spans="1:40">
      <c r="A276" s="191" t="s">
        <v>212</v>
      </c>
      <c r="B276" s="190" t="s">
        <v>751</v>
      </c>
      <c r="C276" s="187">
        <v>435000</v>
      </c>
      <c r="D276" s="189">
        <v>15</v>
      </c>
      <c r="E276" s="323"/>
      <c r="F276" s="324"/>
      <c r="G276" s="325"/>
      <c r="H276" s="324"/>
      <c r="I276" s="323"/>
      <c r="J276" s="324"/>
      <c r="K276" s="325"/>
      <c r="L276" s="324"/>
      <c r="M276" s="323"/>
      <c r="N276" s="324"/>
      <c r="O276" s="325"/>
      <c r="P276" s="324"/>
      <c r="Q276" s="323">
        <v>10983</v>
      </c>
      <c r="R276" s="324">
        <v>12032.25</v>
      </c>
      <c r="S276" s="325">
        <v>25131</v>
      </c>
      <c r="T276" s="324">
        <v>27629.75</v>
      </c>
      <c r="U276" s="323"/>
      <c r="V276" s="324"/>
      <c r="W276" s="325"/>
      <c r="X276" s="324"/>
      <c r="Y276" s="323"/>
      <c r="Z276" s="324"/>
      <c r="AA276" s="325"/>
      <c r="AB276" s="324"/>
      <c r="AC276" s="323"/>
      <c r="AD276" s="324"/>
      <c r="AE276" s="325"/>
      <c r="AF276" s="324"/>
      <c r="AG276" s="323"/>
      <c r="AH276" s="324"/>
      <c r="AI276" s="325"/>
      <c r="AJ276" s="324"/>
      <c r="AK276" s="323"/>
      <c r="AL276" s="324"/>
      <c r="AM276" s="325"/>
      <c r="AN276" s="324"/>
    </row>
    <row r="277" spans="1:40">
      <c r="A277" s="161" t="s">
        <v>640</v>
      </c>
      <c r="B277" s="162" t="s">
        <v>412</v>
      </c>
      <c r="C277" s="161">
        <v>163286</v>
      </c>
      <c r="D277" s="163">
        <v>1</v>
      </c>
      <c r="E277" s="323">
        <v>8005</v>
      </c>
      <c r="F277" s="324">
        <v>8053</v>
      </c>
      <c r="G277" s="325">
        <v>23076</v>
      </c>
      <c r="H277" s="324">
        <v>23990</v>
      </c>
      <c r="I277" s="355">
        <v>15609</v>
      </c>
      <c r="J277" s="324">
        <v>16824</v>
      </c>
      <c r="K277" s="356">
        <v>28026</v>
      </c>
      <c r="L277" s="324">
        <v>29904</v>
      </c>
      <c r="M277" s="323"/>
      <c r="N277" s="324"/>
      <c r="O277" s="325"/>
      <c r="P277" s="324"/>
      <c r="Q277" s="323"/>
      <c r="R277" s="324"/>
      <c r="S277" s="325"/>
      <c r="T277" s="324"/>
      <c r="U277" s="323"/>
      <c r="V277" s="324"/>
      <c r="W277" s="325"/>
      <c r="X277" s="324"/>
      <c r="Y277" s="323"/>
      <c r="Z277" s="324"/>
      <c r="AA277" s="325"/>
      <c r="AB277" s="324"/>
      <c r="AC277" s="323"/>
      <c r="AD277" s="324"/>
      <c r="AE277" s="325"/>
      <c r="AF277" s="324"/>
      <c r="AG277" s="323"/>
      <c r="AH277" s="324"/>
      <c r="AI277" s="325"/>
      <c r="AJ277" s="324"/>
      <c r="AK277" s="323"/>
      <c r="AL277" s="324"/>
      <c r="AM277" s="325"/>
      <c r="AN277" s="324"/>
    </row>
    <row r="278" spans="1:40">
      <c r="A278" s="161" t="s">
        <v>640</v>
      </c>
      <c r="B278" s="162" t="s">
        <v>413</v>
      </c>
      <c r="C278" s="161">
        <v>163268</v>
      </c>
      <c r="D278" s="163">
        <v>2</v>
      </c>
      <c r="E278" s="323">
        <v>8780</v>
      </c>
      <c r="F278" s="324">
        <v>8872</v>
      </c>
      <c r="G278" s="325">
        <v>17512</v>
      </c>
      <c r="H278" s="324">
        <v>18213</v>
      </c>
      <c r="I278" s="355">
        <v>12888</v>
      </c>
      <c r="J278" s="324">
        <v>13392</v>
      </c>
      <c r="K278" s="356">
        <v>19608</v>
      </c>
      <c r="L278" s="324">
        <v>20376</v>
      </c>
      <c r="M278" s="323"/>
      <c r="N278" s="324"/>
      <c r="O278" s="325"/>
      <c r="P278" s="324"/>
      <c r="Q278" s="323"/>
      <c r="R278" s="324"/>
      <c r="S278" s="325"/>
      <c r="T278" s="324"/>
      <c r="U278" s="323"/>
      <c r="V278" s="324"/>
      <c r="W278" s="325"/>
      <c r="X278" s="324"/>
      <c r="Y278" s="323"/>
      <c r="Z278" s="324"/>
      <c r="AA278" s="325"/>
      <c r="AB278" s="324"/>
      <c r="AC278" s="323"/>
      <c r="AD278" s="324"/>
      <c r="AE278" s="325"/>
      <c r="AF278" s="324"/>
      <c r="AG278" s="323"/>
      <c r="AH278" s="324"/>
      <c r="AI278" s="325"/>
      <c r="AJ278" s="324"/>
      <c r="AK278" s="323"/>
      <c r="AL278" s="324"/>
      <c r="AM278" s="325"/>
      <c r="AN278" s="324"/>
    </row>
    <row r="279" spans="1:40">
      <c r="A279" s="161" t="s">
        <v>640</v>
      </c>
      <c r="B279" s="164" t="s">
        <v>417</v>
      </c>
      <c r="C279" s="165">
        <v>163453</v>
      </c>
      <c r="D279" s="357">
        <v>3</v>
      </c>
      <c r="E279" s="323">
        <v>6438</v>
      </c>
      <c r="F279" s="324">
        <v>6548</v>
      </c>
      <c r="G279" s="325">
        <v>14928</v>
      </c>
      <c r="H279" s="324">
        <v>15418</v>
      </c>
      <c r="I279" s="323">
        <v>8640</v>
      </c>
      <c r="J279" s="324">
        <v>8928</v>
      </c>
      <c r="K279" s="325">
        <v>14232</v>
      </c>
      <c r="L279" s="324">
        <v>15576</v>
      </c>
      <c r="M279" s="323"/>
      <c r="N279" s="324"/>
      <c r="O279" s="325"/>
      <c r="P279" s="324"/>
      <c r="Q279" s="323"/>
      <c r="R279" s="324"/>
      <c r="S279" s="325"/>
      <c r="T279" s="324"/>
      <c r="U279" s="323"/>
      <c r="V279" s="324"/>
      <c r="W279" s="325"/>
      <c r="X279" s="324"/>
      <c r="Y279" s="323"/>
      <c r="Z279" s="324"/>
      <c r="AA279" s="325"/>
      <c r="AB279" s="324"/>
      <c r="AC279" s="323"/>
      <c r="AD279" s="324"/>
      <c r="AE279" s="325"/>
      <c r="AF279" s="324"/>
      <c r="AG279" s="323"/>
      <c r="AH279" s="324"/>
      <c r="AI279" s="325"/>
      <c r="AJ279" s="324"/>
      <c r="AK279" s="323"/>
      <c r="AL279" s="324"/>
      <c r="AM279" s="325"/>
      <c r="AN279" s="324"/>
    </row>
    <row r="280" spans="1:40">
      <c r="A280" s="161" t="s">
        <v>640</v>
      </c>
      <c r="B280" s="162" t="s">
        <v>414</v>
      </c>
      <c r="C280" s="161">
        <v>164076</v>
      </c>
      <c r="D280" s="163">
        <v>3</v>
      </c>
      <c r="E280" s="323">
        <v>7314</v>
      </c>
      <c r="F280" s="324">
        <v>7418</v>
      </c>
      <c r="G280" s="325">
        <v>17860</v>
      </c>
      <c r="H280" s="324">
        <v>18232</v>
      </c>
      <c r="I280" s="355">
        <v>9384</v>
      </c>
      <c r="J280" s="324">
        <v>9792</v>
      </c>
      <c r="K280" s="356">
        <v>17232</v>
      </c>
      <c r="L280" s="324">
        <v>17592</v>
      </c>
      <c r="M280" s="323"/>
      <c r="N280" s="324"/>
      <c r="O280" s="325"/>
      <c r="P280" s="324"/>
      <c r="Q280" s="323"/>
      <c r="R280" s="324"/>
      <c r="S280" s="325"/>
      <c r="T280" s="324"/>
      <c r="U280" s="323"/>
      <c r="V280" s="324"/>
      <c r="W280" s="325"/>
      <c r="X280" s="324"/>
      <c r="Y280" s="323"/>
      <c r="Z280" s="324"/>
      <c r="AA280" s="325"/>
      <c r="AB280" s="324"/>
      <c r="AC280" s="323"/>
      <c r="AD280" s="324"/>
      <c r="AE280" s="325"/>
      <c r="AF280" s="324"/>
      <c r="AG280" s="323"/>
      <c r="AH280" s="324"/>
      <c r="AI280" s="325"/>
      <c r="AJ280" s="324"/>
      <c r="AK280" s="323"/>
      <c r="AL280" s="324"/>
      <c r="AM280" s="325"/>
      <c r="AN280" s="324"/>
    </row>
    <row r="281" spans="1:40">
      <c r="A281" s="161" t="s">
        <v>640</v>
      </c>
      <c r="B281" s="162" t="s">
        <v>415</v>
      </c>
      <c r="C281" s="161">
        <v>162007</v>
      </c>
      <c r="D281" s="163">
        <v>4</v>
      </c>
      <c r="E281" s="323">
        <v>6005</v>
      </c>
      <c r="F281" s="324">
        <v>6040</v>
      </c>
      <c r="G281" s="325">
        <v>16226</v>
      </c>
      <c r="H281" s="324">
        <v>16479</v>
      </c>
      <c r="I281" s="355">
        <v>9412</v>
      </c>
      <c r="J281" s="324">
        <v>9530</v>
      </c>
      <c r="K281" s="356">
        <v>16612</v>
      </c>
      <c r="L281" s="324">
        <v>16850</v>
      </c>
      <c r="M281" s="323"/>
      <c r="N281" s="324"/>
      <c r="O281" s="325"/>
      <c r="P281" s="324"/>
      <c r="Q281" s="323"/>
      <c r="R281" s="324"/>
      <c r="S281" s="325"/>
      <c r="T281" s="324"/>
      <c r="U281" s="323"/>
      <c r="V281" s="324"/>
      <c r="W281" s="325"/>
      <c r="X281" s="324"/>
      <c r="Y281" s="323"/>
      <c r="Z281" s="324"/>
      <c r="AA281" s="325"/>
      <c r="AB281" s="324"/>
      <c r="AC281" s="323"/>
      <c r="AD281" s="324"/>
      <c r="AE281" s="325"/>
      <c r="AF281" s="324"/>
      <c r="AG281" s="323"/>
      <c r="AH281" s="324"/>
      <c r="AI281" s="325"/>
      <c r="AJ281" s="324"/>
      <c r="AK281" s="323"/>
      <c r="AL281" s="324"/>
      <c r="AM281" s="325"/>
      <c r="AN281" s="324"/>
    </row>
    <row r="282" spans="1:40">
      <c r="A282" s="161" t="s">
        <v>640</v>
      </c>
      <c r="B282" s="164" t="s">
        <v>421</v>
      </c>
      <c r="C282" s="165">
        <v>162283</v>
      </c>
      <c r="D282" s="166">
        <v>4</v>
      </c>
      <c r="E282" s="323">
        <v>5140</v>
      </c>
      <c r="F282" s="324">
        <v>5276</v>
      </c>
      <c r="G282" s="325">
        <v>13365</v>
      </c>
      <c r="H282" s="324">
        <v>13971</v>
      </c>
      <c r="I282" s="355">
        <v>8524</v>
      </c>
      <c r="J282" s="324">
        <v>8812</v>
      </c>
      <c r="K282" s="356">
        <v>13084</v>
      </c>
      <c r="L282" s="324">
        <v>13564</v>
      </c>
      <c r="M282" s="323"/>
      <c r="N282" s="324"/>
      <c r="O282" s="325"/>
      <c r="P282" s="324"/>
      <c r="Q282" s="323"/>
      <c r="R282" s="324"/>
      <c r="S282" s="325"/>
      <c r="T282" s="324"/>
      <c r="U282" s="323"/>
      <c r="V282" s="324"/>
      <c r="W282" s="325"/>
      <c r="X282" s="324"/>
      <c r="Y282" s="323"/>
      <c r="Z282" s="324"/>
      <c r="AA282" s="325"/>
      <c r="AB282" s="324"/>
      <c r="AC282" s="323"/>
      <c r="AD282" s="324"/>
      <c r="AE282" s="325"/>
      <c r="AF282" s="324"/>
      <c r="AG282" s="323"/>
      <c r="AH282" s="324"/>
      <c r="AI282" s="325"/>
      <c r="AJ282" s="324"/>
      <c r="AK282" s="323"/>
      <c r="AL282" s="324"/>
      <c r="AM282" s="325"/>
      <c r="AN282" s="324"/>
    </row>
    <row r="283" spans="1:40">
      <c r="A283" s="161" t="s">
        <v>640</v>
      </c>
      <c r="B283" s="164" t="s">
        <v>416</v>
      </c>
      <c r="C283" s="165">
        <v>162584</v>
      </c>
      <c r="D283" s="166">
        <v>4</v>
      </c>
      <c r="E283" s="323">
        <v>6614</v>
      </c>
      <c r="F283" s="324">
        <v>6684</v>
      </c>
      <c r="G283" s="325">
        <v>16810</v>
      </c>
      <c r="H283" s="324">
        <v>16880</v>
      </c>
      <c r="I283" s="355">
        <v>9478</v>
      </c>
      <c r="J283" s="324">
        <v>9598</v>
      </c>
      <c r="K283" s="356">
        <v>10606</v>
      </c>
      <c r="L283" s="324">
        <v>11254</v>
      </c>
      <c r="M283" s="323"/>
      <c r="N283" s="324"/>
      <c r="O283" s="325"/>
      <c r="P283" s="324"/>
      <c r="Q283" s="323"/>
      <c r="R283" s="324"/>
      <c r="S283" s="325"/>
      <c r="T283" s="324"/>
      <c r="U283" s="323"/>
      <c r="V283" s="324"/>
      <c r="W283" s="325"/>
      <c r="X283" s="324"/>
      <c r="Y283" s="323"/>
      <c r="Z283" s="324"/>
      <c r="AA283" s="325"/>
      <c r="AB283" s="324"/>
      <c r="AC283" s="323"/>
      <c r="AD283" s="324"/>
      <c r="AE283" s="325"/>
      <c r="AF283" s="324"/>
      <c r="AG283" s="323"/>
      <c r="AH283" s="324"/>
      <c r="AI283" s="325"/>
      <c r="AJ283" s="324"/>
      <c r="AK283" s="323"/>
      <c r="AL283" s="324"/>
      <c r="AM283" s="325"/>
      <c r="AN283" s="324"/>
    </row>
    <row r="284" spans="1:40">
      <c r="A284" s="161" t="s">
        <v>640</v>
      </c>
      <c r="B284" s="162" t="s">
        <v>418</v>
      </c>
      <c r="C284" s="161">
        <v>163851</v>
      </c>
      <c r="D284" s="163">
        <v>4</v>
      </c>
      <c r="E284" s="323">
        <v>6492</v>
      </c>
      <c r="F284" s="324">
        <v>6618</v>
      </c>
      <c r="G284" s="325">
        <v>14794</v>
      </c>
      <c r="H284" s="324">
        <v>15114</v>
      </c>
      <c r="I284" s="323">
        <f>(270+4+14+2+25+7)*24</f>
        <v>7728</v>
      </c>
      <c r="J284" s="324">
        <v>8040</v>
      </c>
      <c r="K284" s="325">
        <f>(566+4+14+2+25+7)*24</f>
        <v>14832</v>
      </c>
      <c r="L284" s="324">
        <v>15144</v>
      </c>
      <c r="M284" s="323"/>
      <c r="N284" s="324"/>
      <c r="O284" s="325"/>
      <c r="P284" s="324"/>
      <c r="Q284" s="323"/>
      <c r="R284" s="324"/>
      <c r="S284" s="325"/>
      <c r="T284" s="324"/>
      <c r="U284" s="323"/>
      <c r="V284" s="324"/>
      <c r="W284" s="325"/>
      <c r="X284" s="324"/>
      <c r="Y284" s="323"/>
      <c r="Z284" s="324"/>
      <c r="AA284" s="325"/>
      <c r="AB284" s="324"/>
      <c r="AC284" s="323"/>
      <c r="AD284" s="324"/>
      <c r="AE284" s="325"/>
      <c r="AF284" s="324"/>
      <c r="AG284" s="323"/>
      <c r="AH284" s="324"/>
      <c r="AI284" s="325"/>
      <c r="AJ284" s="324"/>
      <c r="AK284" s="323"/>
      <c r="AL284" s="324"/>
      <c r="AM284" s="325"/>
      <c r="AN284" s="324"/>
    </row>
    <row r="285" spans="1:40">
      <c r="A285" s="161" t="s">
        <v>640</v>
      </c>
      <c r="B285" s="162" t="s">
        <v>419</v>
      </c>
      <c r="C285" s="161">
        <v>161873</v>
      </c>
      <c r="D285" s="163">
        <v>4</v>
      </c>
      <c r="E285" s="323">
        <v>7051</v>
      </c>
      <c r="F285" s="324">
        <v>7171</v>
      </c>
      <c r="G285" s="356">
        <v>20557</v>
      </c>
      <c r="H285" s="324">
        <v>20689</v>
      </c>
      <c r="I285" s="355">
        <v>16396</v>
      </c>
      <c r="J285" s="324">
        <v>17116</v>
      </c>
      <c r="K285" s="356">
        <v>21868</v>
      </c>
      <c r="L285" s="324">
        <v>22780</v>
      </c>
      <c r="M285" s="323">
        <v>22327</v>
      </c>
      <c r="N285" s="324">
        <v>23992</v>
      </c>
      <c r="O285" s="325">
        <v>34873</v>
      </c>
      <c r="P285" s="324">
        <v>35988</v>
      </c>
      <c r="Q285" s="323"/>
      <c r="R285" s="324"/>
      <c r="S285" s="325"/>
      <c r="T285" s="324"/>
      <c r="U285" s="323"/>
      <c r="V285" s="324"/>
      <c r="W285" s="325"/>
      <c r="X285" s="324"/>
      <c r="Y285" s="323"/>
      <c r="Z285" s="324"/>
      <c r="AA285" s="325"/>
      <c r="AB285" s="324"/>
      <c r="AC285" s="323"/>
      <c r="AD285" s="324"/>
      <c r="AE285" s="325"/>
      <c r="AF285" s="324"/>
      <c r="AG285" s="323"/>
      <c r="AH285" s="324"/>
      <c r="AI285" s="325"/>
      <c r="AJ285" s="324"/>
      <c r="AK285" s="323"/>
      <c r="AL285" s="324"/>
      <c r="AM285" s="325"/>
      <c r="AN285" s="324"/>
    </row>
    <row r="286" spans="1:40">
      <c r="A286" s="161" t="s">
        <v>640</v>
      </c>
      <c r="B286" s="162" t="s">
        <v>420</v>
      </c>
      <c r="C286" s="161">
        <v>163338</v>
      </c>
      <c r="D286" s="163">
        <v>4</v>
      </c>
      <c r="E286" s="323">
        <v>6042</v>
      </c>
      <c r="F286" s="324">
        <v>6082</v>
      </c>
      <c r="G286" s="325">
        <v>12830</v>
      </c>
      <c r="H286" s="324">
        <v>13306</v>
      </c>
      <c r="I286" s="355">
        <v>5780</v>
      </c>
      <c r="J286" s="324">
        <v>5918</v>
      </c>
      <c r="K286" s="356">
        <v>10340</v>
      </c>
      <c r="L286" s="324">
        <v>10756</v>
      </c>
      <c r="M286" s="323"/>
      <c r="N286" s="324"/>
      <c r="O286" s="325"/>
      <c r="P286" s="324"/>
      <c r="Q286" s="323"/>
      <c r="R286" s="324"/>
      <c r="S286" s="325"/>
      <c r="T286" s="324"/>
      <c r="U286" s="323"/>
      <c r="V286" s="324"/>
      <c r="W286" s="325"/>
      <c r="X286" s="324"/>
      <c r="Y286" s="323"/>
      <c r="Z286" s="324"/>
      <c r="AA286" s="325"/>
      <c r="AB286" s="324"/>
      <c r="AC286" s="323"/>
      <c r="AD286" s="324"/>
      <c r="AE286" s="325"/>
      <c r="AF286" s="324"/>
      <c r="AG286" s="323"/>
      <c r="AH286" s="324"/>
      <c r="AI286" s="325"/>
      <c r="AJ286" s="324"/>
      <c r="AK286" s="323"/>
      <c r="AL286" s="324"/>
      <c r="AM286" s="325"/>
      <c r="AN286" s="324"/>
    </row>
    <row r="287" spans="1:40">
      <c r="A287" s="161" t="s">
        <v>640</v>
      </c>
      <c r="B287" s="162" t="s">
        <v>422</v>
      </c>
      <c r="C287" s="161">
        <v>163912</v>
      </c>
      <c r="D287" s="163">
        <v>6</v>
      </c>
      <c r="E287" s="323">
        <v>12604</v>
      </c>
      <c r="F287" s="324">
        <v>13234</v>
      </c>
      <c r="G287" s="325">
        <v>23454</v>
      </c>
      <c r="H287" s="324">
        <v>24627</v>
      </c>
      <c r="I287" s="323">
        <v>12604</v>
      </c>
      <c r="J287" s="324">
        <v>13234</v>
      </c>
      <c r="K287" s="325">
        <v>23454</v>
      </c>
      <c r="L287" s="324">
        <v>24627</v>
      </c>
      <c r="M287" s="323"/>
      <c r="N287" s="324"/>
      <c r="O287" s="325"/>
      <c r="P287" s="324"/>
      <c r="Q287" s="323"/>
      <c r="R287" s="324"/>
      <c r="S287" s="325"/>
      <c r="T287" s="324"/>
      <c r="U287" s="323"/>
      <c r="V287" s="324"/>
      <c r="W287" s="325"/>
      <c r="X287" s="324"/>
      <c r="Y287" s="323"/>
      <c r="Z287" s="324"/>
      <c r="AA287" s="325"/>
      <c r="AB287" s="324"/>
      <c r="AC287" s="323"/>
      <c r="AD287" s="324"/>
      <c r="AE287" s="325"/>
      <c r="AF287" s="324"/>
      <c r="AG287" s="323"/>
      <c r="AH287" s="324"/>
      <c r="AI287" s="325"/>
      <c r="AJ287" s="324"/>
      <c r="AK287" s="323"/>
      <c r="AL287" s="324"/>
      <c r="AM287" s="325"/>
      <c r="AN287" s="324"/>
    </row>
    <row r="288" spans="1:40">
      <c r="A288" s="161" t="s">
        <v>640</v>
      </c>
      <c r="B288" s="162" t="s">
        <v>423</v>
      </c>
      <c r="C288" s="161">
        <v>161767</v>
      </c>
      <c r="D288" s="163">
        <v>8</v>
      </c>
      <c r="E288" s="323">
        <v>2860</v>
      </c>
      <c r="F288" s="324">
        <v>2920</v>
      </c>
      <c r="G288" s="325">
        <v>6584</v>
      </c>
      <c r="H288" s="324">
        <v>9250</v>
      </c>
      <c r="I288" s="323"/>
      <c r="J288" s="324"/>
      <c r="K288" s="325"/>
      <c r="L288" s="324"/>
      <c r="M288" s="323"/>
      <c r="N288" s="324"/>
      <c r="O288" s="325"/>
      <c r="P288" s="324"/>
      <c r="Q288" s="323"/>
      <c r="R288" s="324"/>
      <c r="S288" s="325"/>
      <c r="T288" s="324"/>
      <c r="U288" s="323"/>
      <c r="V288" s="324"/>
      <c r="W288" s="325"/>
      <c r="X288" s="324"/>
      <c r="Y288" s="323"/>
      <c r="Z288" s="324"/>
      <c r="AA288" s="325"/>
      <c r="AB288" s="324"/>
      <c r="AC288" s="323"/>
      <c r="AD288" s="324"/>
      <c r="AE288" s="325"/>
      <c r="AF288" s="324"/>
      <c r="AG288" s="323"/>
      <c r="AH288" s="324"/>
      <c r="AI288" s="325"/>
      <c r="AJ288" s="324"/>
      <c r="AK288" s="323"/>
      <c r="AL288" s="324"/>
      <c r="AM288" s="325"/>
      <c r="AN288" s="324"/>
    </row>
    <row r="289" spans="1:40">
      <c r="A289" s="161" t="s">
        <v>640</v>
      </c>
      <c r="B289" s="162" t="s">
        <v>424</v>
      </c>
      <c r="C289" s="161">
        <v>434672</v>
      </c>
      <c r="D289" s="163">
        <v>8</v>
      </c>
      <c r="E289" s="323">
        <v>3080</v>
      </c>
      <c r="F289" s="324">
        <v>3102</v>
      </c>
      <c r="G289" s="325">
        <v>8210</v>
      </c>
      <c r="H289" s="324">
        <v>8622</v>
      </c>
      <c r="I289" s="323"/>
      <c r="J289" s="324"/>
      <c r="K289" s="325"/>
      <c r="L289" s="324"/>
      <c r="M289" s="323"/>
      <c r="N289" s="324"/>
      <c r="O289" s="325"/>
      <c r="P289" s="324"/>
      <c r="Q289" s="323"/>
      <c r="R289" s="324"/>
      <c r="S289" s="325"/>
      <c r="T289" s="324"/>
      <c r="U289" s="323"/>
      <c r="V289" s="324"/>
      <c r="W289" s="325"/>
      <c r="X289" s="324"/>
      <c r="Y289" s="323"/>
      <c r="Z289" s="324"/>
      <c r="AA289" s="325"/>
      <c r="AB289" s="324"/>
      <c r="AC289" s="323"/>
      <c r="AD289" s="324"/>
      <c r="AE289" s="325"/>
      <c r="AF289" s="324"/>
      <c r="AG289" s="323"/>
      <c r="AH289" s="324"/>
      <c r="AI289" s="325"/>
      <c r="AJ289" s="324"/>
      <c r="AK289" s="323"/>
      <c r="AL289" s="324"/>
      <c r="AM289" s="325"/>
      <c r="AN289" s="324"/>
    </row>
    <row r="290" spans="1:40">
      <c r="A290" s="161" t="s">
        <v>640</v>
      </c>
      <c r="B290" s="162" t="s">
        <v>425</v>
      </c>
      <c r="C290" s="161">
        <v>163426</v>
      </c>
      <c r="D290" s="163">
        <v>8</v>
      </c>
      <c r="E290" s="323">
        <v>3984</v>
      </c>
      <c r="F290" s="324">
        <v>4092</v>
      </c>
      <c r="G290" s="325">
        <v>10320</v>
      </c>
      <c r="H290" s="324">
        <v>10644</v>
      </c>
      <c r="I290" s="323"/>
      <c r="J290" s="324"/>
      <c r="K290" s="325"/>
      <c r="L290" s="324"/>
      <c r="M290" s="323"/>
      <c r="N290" s="324"/>
      <c r="O290" s="325"/>
      <c r="P290" s="324"/>
      <c r="Q290" s="323"/>
      <c r="R290" s="324"/>
      <c r="S290" s="325"/>
      <c r="T290" s="324"/>
      <c r="U290" s="323"/>
      <c r="V290" s="324"/>
      <c r="W290" s="325"/>
      <c r="X290" s="324"/>
      <c r="Y290" s="323"/>
      <c r="Z290" s="324"/>
      <c r="AA290" s="325"/>
      <c r="AB290" s="324"/>
      <c r="AC290" s="323"/>
      <c r="AD290" s="324"/>
      <c r="AE290" s="325"/>
      <c r="AF290" s="324"/>
      <c r="AG290" s="323"/>
      <c r="AH290" s="324"/>
      <c r="AI290" s="325"/>
      <c r="AJ290" s="324"/>
      <c r="AK290" s="323"/>
      <c r="AL290" s="324"/>
      <c r="AM290" s="325"/>
      <c r="AN290" s="324"/>
    </row>
    <row r="291" spans="1:40">
      <c r="A291" s="161" t="s">
        <v>640</v>
      </c>
      <c r="B291" s="162" t="s">
        <v>426</v>
      </c>
      <c r="C291" s="161">
        <v>163657</v>
      </c>
      <c r="D291" s="163">
        <v>8</v>
      </c>
      <c r="E291" s="323">
        <v>3905</v>
      </c>
      <c r="F291" s="324">
        <v>3801</v>
      </c>
      <c r="G291" s="325">
        <v>8675</v>
      </c>
      <c r="H291" s="324">
        <v>8571</v>
      </c>
      <c r="I291" s="323"/>
      <c r="J291" s="324"/>
      <c r="K291" s="325"/>
      <c r="L291" s="324"/>
      <c r="M291" s="323"/>
      <c r="N291" s="324"/>
      <c r="O291" s="325"/>
      <c r="P291" s="324"/>
      <c r="Q291" s="323"/>
      <c r="R291" s="324"/>
      <c r="S291" s="325"/>
      <c r="T291" s="324"/>
      <c r="U291" s="323"/>
      <c r="V291" s="324"/>
      <c r="W291" s="325"/>
      <c r="X291" s="324"/>
      <c r="Y291" s="323"/>
      <c r="Z291" s="324"/>
      <c r="AA291" s="325"/>
      <c r="AB291" s="324"/>
      <c r="AC291" s="323"/>
      <c r="AD291" s="324"/>
      <c r="AE291" s="325"/>
      <c r="AF291" s="324"/>
      <c r="AG291" s="323"/>
      <c r="AH291" s="324"/>
      <c r="AI291" s="325"/>
      <c r="AJ291" s="324"/>
      <c r="AK291" s="323"/>
      <c r="AL291" s="324"/>
      <c r="AM291" s="325"/>
      <c r="AN291" s="324"/>
    </row>
    <row r="292" spans="1:40">
      <c r="A292" s="161" t="s">
        <v>640</v>
      </c>
      <c r="B292" s="164" t="s">
        <v>431</v>
      </c>
      <c r="C292" s="167">
        <v>161688</v>
      </c>
      <c r="D292" s="168">
        <v>9</v>
      </c>
      <c r="E292" s="323">
        <v>3164</v>
      </c>
      <c r="F292" s="324">
        <v>3164</v>
      </c>
      <c r="G292" s="325">
        <v>6584</v>
      </c>
      <c r="H292" s="324">
        <v>6824</v>
      </c>
      <c r="I292" s="323"/>
      <c r="J292" s="324"/>
      <c r="K292" s="325"/>
      <c r="L292" s="324"/>
      <c r="M292" s="323"/>
      <c r="N292" s="324"/>
      <c r="O292" s="325"/>
      <c r="P292" s="324"/>
      <c r="Q292" s="323"/>
      <c r="R292" s="324"/>
      <c r="S292" s="325"/>
      <c r="T292" s="324"/>
      <c r="U292" s="323"/>
      <c r="V292" s="324"/>
      <c r="W292" s="325"/>
      <c r="X292" s="324"/>
      <c r="Y292" s="323"/>
      <c r="Z292" s="324"/>
      <c r="AA292" s="325"/>
      <c r="AB292" s="324"/>
      <c r="AC292" s="323"/>
      <c r="AD292" s="324"/>
      <c r="AE292" s="325"/>
      <c r="AF292" s="324"/>
      <c r="AG292" s="323"/>
      <c r="AH292" s="324"/>
      <c r="AI292" s="325"/>
      <c r="AJ292" s="324"/>
      <c r="AK292" s="323"/>
      <c r="AL292" s="324"/>
      <c r="AM292" s="325"/>
      <c r="AN292" s="324"/>
    </row>
    <row r="293" spans="1:40">
      <c r="A293" s="161" t="s">
        <v>640</v>
      </c>
      <c r="B293" s="162" t="s">
        <v>427</v>
      </c>
      <c r="C293" s="161">
        <v>161864</v>
      </c>
      <c r="D293" s="163">
        <v>9</v>
      </c>
      <c r="E293" s="323">
        <v>3077</v>
      </c>
      <c r="F293" s="324">
        <v>3122</v>
      </c>
      <c r="G293" s="325">
        <v>6737</v>
      </c>
      <c r="H293" s="324">
        <v>6772</v>
      </c>
      <c r="I293" s="323"/>
      <c r="J293" s="324"/>
      <c r="K293" s="325"/>
      <c r="L293" s="324"/>
      <c r="M293" s="323"/>
      <c r="N293" s="324"/>
      <c r="O293" s="325"/>
      <c r="P293" s="324"/>
      <c r="Q293" s="323"/>
      <c r="R293" s="324"/>
      <c r="S293" s="325"/>
      <c r="T293" s="324"/>
      <c r="U293" s="323"/>
      <c r="V293" s="324"/>
      <c r="W293" s="325"/>
      <c r="X293" s="324"/>
      <c r="Y293" s="323"/>
      <c r="Z293" s="324"/>
      <c r="AA293" s="325"/>
      <c r="AB293" s="324"/>
      <c r="AC293" s="323"/>
      <c r="AD293" s="324"/>
      <c r="AE293" s="325"/>
      <c r="AF293" s="324"/>
      <c r="AG293" s="323"/>
      <c r="AH293" s="324"/>
      <c r="AI293" s="325"/>
      <c r="AJ293" s="324"/>
      <c r="AK293" s="323"/>
      <c r="AL293" s="324"/>
      <c r="AM293" s="325"/>
      <c r="AN293" s="324"/>
    </row>
    <row r="294" spans="1:40">
      <c r="A294" s="161" t="s">
        <v>640</v>
      </c>
      <c r="B294" s="164" t="s">
        <v>1049</v>
      </c>
      <c r="C294" s="161">
        <v>162122</v>
      </c>
      <c r="D294" s="163">
        <v>9</v>
      </c>
      <c r="E294" s="323">
        <v>3616</v>
      </c>
      <c r="F294" s="324">
        <v>3690</v>
      </c>
      <c r="G294" s="325">
        <v>8155</v>
      </c>
      <c r="H294" s="324">
        <v>8302</v>
      </c>
      <c r="I294" s="323"/>
      <c r="J294" s="324"/>
      <c r="K294" s="325"/>
      <c r="L294" s="324"/>
      <c r="M294" s="323"/>
      <c r="N294" s="324"/>
      <c r="O294" s="325"/>
      <c r="P294" s="324"/>
      <c r="Q294" s="323"/>
      <c r="R294" s="324"/>
      <c r="S294" s="325"/>
      <c r="T294" s="324"/>
      <c r="U294" s="323"/>
      <c r="V294" s="324"/>
      <c r="W294" s="325"/>
      <c r="X294" s="324"/>
      <c r="Y294" s="323"/>
      <c r="Z294" s="324"/>
      <c r="AA294" s="325"/>
      <c r="AB294" s="324"/>
      <c r="AC294" s="323"/>
      <c r="AD294" s="324"/>
      <c r="AE294" s="325"/>
      <c r="AF294" s="324"/>
      <c r="AG294" s="323"/>
      <c r="AH294" s="324"/>
      <c r="AI294" s="325"/>
      <c r="AJ294" s="324"/>
      <c r="AK294" s="323"/>
      <c r="AL294" s="324"/>
      <c r="AM294" s="325"/>
      <c r="AN294" s="324"/>
    </row>
    <row r="295" spans="1:40">
      <c r="A295" s="161" t="s">
        <v>640</v>
      </c>
      <c r="B295" s="164" t="s">
        <v>428</v>
      </c>
      <c r="C295" s="165">
        <v>162557</v>
      </c>
      <c r="D295" s="166">
        <v>9</v>
      </c>
      <c r="E295" s="323">
        <v>3069</v>
      </c>
      <c r="F295" s="324">
        <v>3267</v>
      </c>
      <c r="G295" s="325">
        <v>8469</v>
      </c>
      <c r="H295" s="324">
        <v>8877</v>
      </c>
      <c r="I295" s="323"/>
      <c r="J295" s="324"/>
      <c r="K295" s="325"/>
      <c r="L295" s="324"/>
      <c r="M295" s="323"/>
      <c r="N295" s="324"/>
      <c r="O295" s="325"/>
      <c r="P295" s="324"/>
      <c r="Q295" s="323"/>
      <c r="R295" s="324"/>
      <c r="S295" s="325"/>
      <c r="T295" s="324"/>
      <c r="U295" s="323"/>
      <c r="V295" s="324"/>
      <c r="W295" s="325"/>
      <c r="X295" s="324"/>
      <c r="Y295" s="323"/>
      <c r="Z295" s="324"/>
      <c r="AA295" s="325"/>
      <c r="AB295" s="324"/>
      <c r="AC295" s="323"/>
      <c r="AD295" s="324"/>
      <c r="AE295" s="325"/>
      <c r="AF295" s="324"/>
      <c r="AG295" s="323"/>
      <c r="AH295" s="324"/>
      <c r="AI295" s="325"/>
      <c r="AJ295" s="324"/>
      <c r="AK295" s="323"/>
      <c r="AL295" s="324"/>
      <c r="AM295" s="325"/>
      <c r="AN295" s="324"/>
    </row>
    <row r="296" spans="1:40">
      <c r="A296" s="161" t="s">
        <v>640</v>
      </c>
      <c r="B296" s="164" t="s">
        <v>72</v>
      </c>
      <c r="C296" s="167">
        <v>162690</v>
      </c>
      <c r="D296" s="168">
        <v>9</v>
      </c>
      <c r="E296" s="323">
        <v>3180</v>
      </c>
      <c r="F296" s="324">
        <v>3220</v>
      </c>
      <c r="G296" s="325">
        <v>6240</v>
      </c>
      <c r="H296" s="324">
        <v>6340</v>
      </c>
      <c r="I296" s="323"/>
      <c r="J296" s="324"/>
      <c r="K296" s="325"/>
      <c r="L296" s="324"/>
      <c r="M296" s="323"/>
      <c r="N296" s="324"/>
      <c r="O296" s="325"/>
      <c r="P296" s="324"/>
      <c r="Q296" s="323"/>
      <c r="R296" s="324"/>
      <c r="S296" s="325"/>
      <c r="T296" s="324"/>
      <c r="U296" s="323"/>
      <c r="V296" s="324"/>
      <c r="W296" s="325"/>
      <c r="X296" s="324"/>
      <c r="Y296" s="323"/>
      <c r="Z296" s="324"/>
      <c r="AA296" s="325"/>
      <c r="AB296" s="324"/>
      <c r="AC296" s="323"/>
      <c r="AD296" s="324"/>
      <c r="AE296" s="325"/>
      <c r="AF296" s="324"/>
      <c r="AG296" s="323"/>
      <c r="AH296" s="324"/>
      <c r="AI296" s="325"/>
      <c r="AJ296" s="324"/>
      <c r="AK296" s="323"/>
      <c r="AL296" s="324"/>
      <c r="AM296" s="325"/>
      <c r="AN296" s="324"/>
    </row>
    <row r="297" spans="1:40">
      <c r="A297" s="161" t="s">
        <v>640</v>
      </c>
      <c r="B297" s="162" t="s">
        <v>429</v>
      </c>
      <c r="C297" s="161">
        <v>162706</v>
      </c>
      <c r="D297" s="163">
        <v>9</v>
      </c>
      <c r="E297" s="323">
        <v>2550</v>
      </c>
      <c r="F297" s="324">
        <v>2587</v>
      </c>
      <c r="G297" s="325">
        <v>7170</v>
      </c>
      <c r="H297" s="324">
        <v>7207</v>
      </c>
      <c r="I297" s="323"/>
      <c r="J297" s="324"/>
      <c r="K297" s="325"/>
      <c r="L297" s="324"/>
      <c r="M297" s="323"/>
      <c r="N297" s="324"/>
      <c r="O297" s="325"/>
      <c r="P297" s="324"/>
      <c r="Q297" s="323"/>
      <c r="R297" s="324"/>
      <c r="S297" s="325"/>
      <c r="T297" s="324"/>
      <c r="U297" s="323"/>
      <c r="V297" s="324"/>
      <c r="W297" s="325"/>
      <c r="X297" s="324"/>
      <c r="Y297" s="323"/>
      <c r="Z297" s="324"/>
      <c r="AA297" s="325"/>
      <c r="AB297" s="324"/>
      <c r="AC297" s="323"/>
      <c r="AD297" s="324"/>
      <c r="AE297" s="325"/>
      <c r="AF297" s="324"/>
      <c r="AG297" s="323"/>
      <c r="AH297" s="324"/>
      <c r="AI297" s="325"/>
      <c r="AJ297" s="324"/>
      <c r="AK297" s="323"/>
      <c r="AL297" s="324"/>
      <c r="AM297" s="325"/>
      <c r="AN297" s="324"/>
    </row>
    <row r="298" spans="1:40">
      <c r="A298" s="161" t="s">
        <v>640</v>
      </c>
      <c r="B298" s="164" t="s">
        <v>430</v>
      </c>
      <c r="C298" s="161">
        <v>162779</v>
      </c>
      <c r="D298" s="163">
        <v>9</v>
      </c>
      <c r="E298" s="323">
        <v>3993</v>
      </c>
      <c r="F298" s="324">
        <v>3993</v>
      </c>
      <c r="G298" s="325">
        <v>7833</v>
      </c>
      <c r="H298" s="324">
        <v>7833</v>
      </c>
      <c r="I298" s="323"/>
      <c r="J298" s="324"/>
      <c r="K298" s="325"/>
      <c r="L298" s="324"/>
      <c r="M298" s="323"/>
      <c r="N298" s="324"/>
      <c r="O298" s="325"/>
      <c r="P298" s="324"/>
      <c r="Q298" s="323"/>
      <c r="R298" s="324"/>
      <c r="S298" s="325"/>
      <c r="T298" s="324"/>
      <c r="U298" s="323"/>
      <c r="V298" s="324"/>
      <c r="W298" s="325"/>
      <c r="X298" s="324"/>
      <c r="Y298" s="323"/>
      <c r="Z298" s="324"/>
      <c r="AA298" s="325"/>
      <c r="AB298" s="324"/>
      <c r="AC298" s="323"/>
      <c r="AD298" s="324"/>
      <c r="AE298" s="325"/>
      <c r="AF298" s="324"/>
      <c r="AG298" s="323"/>
      <c r="AH298" s="324"/>
      <c r="AI298" s="325"/>
      <c r="AJ298" s="324"/>
      <c r="AK298" s="323"/>
      <c r="AL298" s="324"/>
      <c r="AM298" s="325"/>
      <c r="AN298" s="324"/>
    </row>
    <row r="299" spans="1:40">
      <c r="A299" s="161" t="s">
        <v>640</v>
      </c>
      <c r="B299" s="234" t="s">
        <v>432</v>
      </c>
      <c r="C299" s="165">
        <v>405872</v>
      </c>
      <c r="D299" s="166">
        <v>10</v>
      </c>
      <c r="E299" s="323">
        <v>3407</v>
      </c>
      <c r="F299" s="324">
        <v>3565</v>
      </c>
      <c r="G299" s="325">
        <v>6926</v>
      </c>
      <c r="H299" s="324">
        <v>7246</v>
      </c>
      <c r="I299" s="323"/>
      <c r="J299" s="324"/>
      <c r="K299" s="325"/>
      <c r="L299" s="324"/>
      <c r="M299" s="323"/>
      <c r="N299" s="324"/>
      <c r="O299" s="325"/>
      <c r="P299" s="324"/>
      <c r="Q299" s="323"/>
      <c r="R299" s="324"/>
      <c r="S299" s="325"/>
      <c r="T299" s="324"/>
      <c r="U299" s="323"/>
      <c r="V299" s="324"/>
      <c r="W299" s="325"/>
      <c r="X299" s="324"/>
      <c r="Y299" s="323"/>
      <c r="Z299" s="324"/>
      <c r="AA299" s="325"/>
      <c r="AB299" s="324"/>
      <c r="AC299" s="323"/>
      <c r="AD299" s="324"/>
      <c r="AE299" s="325"/>
      <c r="AF299" s="324"/>
      <c r="AG299" s="323"/>
      <c r="AH299" s="324"/>
      <c r="AI299" s="325"/>
      <c r="AJ299" s="324"/>
      <c r="AK299" s="323"/>
      <c r="AL299" s="337"/>
      <c r="AM299" s="325"/>
      <c r="AN299" s="337"/>
    </row>
    <row r="300" spans="1:40">
      <c r="A300" s="161" t="s">
        <v>640</v>
      </c>
      <c r="B300" s="162" t="s">
        <v>69</v>
      </c>
      <c r="C300" s="161">
        <v>162104</v>
      </c>
      <c r="D300" s="163">
        <v>10</v>
      </c>
      <c r="E300" s="323">
        <v>2860</v>
      </c>
      <c r="F300" s="324">
        <v>2820</v>
      </c>
      <c r="G300" s="325">
        <v>6910</v>
      </c>
      <c r="H300" s="324">
        <v>6870</v>
      </c>
      <c r="I300" s="323"/>
      <c r="J300" s="324"/>
      <c r="K300" s="325"/>
      <c r="L300" s="324"/>
      <c r="M300" s="323"/>
      <c r="N300" s="324"/>
      <c r="O300" s="325"/>
      <c r="P300" s="324"/>
      <c r="Q300" s="323"/>
      <c r="R300" s="324"/>
      <c r="S300" s="325"/>
      <c r="T300" s="324"/>
      <c r="U300" s="323"/>
      <c r="V300" s="324"/>
      <c r="W300" s="325"/>
      <c r="X300" s="324"/>
      <c r="Y300" s="323"/>
      <c r="Z300" s="324"/>
      <c r="AA300" s="325"/>
      <c r="AB300" s="324"/>
      <c r="AC300" s="323"/>
      <c r="AD300" s="324"/>
      <c r="AE300" s="325"/>
      <c r="AF300" s="324"/>
      <c r="AG300" s="323"/>
      <c r="AH300" s="324"/>
      <c r="AI300" s="325"/>
      <c r="AJ300" s="324"/>
      <c r="AK300" s="323"/>
      <c r="AL300" s="324"/>
      <c r="AM300" s="325"/>
      <c r="AN300" s="324"/>
    </row>
    <row r="301" spans="1:40">
      <c r="A301" s="161" t="s">
        <v>640</v>
      </c>
      <c r="B301" s="162" t="s">
        <v>70</v>
      </c>
      <c r="C301" s="161">
        <v>162168</v>
      </c>
      <c r="D301" s="163">
        <v>10</v>
      </c>
      <c r="E301" s="323">
        <v>3304</v>
      </c>
      <c r="F301" s="324">
        <v>3304</v>
      </c>
      <c r="G301" s="325">
        <v>7684</v>
      </c>
      <c r="H301" s="324">
        <v>7684</v>
      </c>
      <c r="I301" s="323"/>
      <c r="J301" s="324"/>
      <c r="K301" s="325"/>
      <c r="L301" s="324"/>
      <c r="M301" s="323"/>
      <c r="N301" s="324"/>
      <c r="O301" s="325"/>
      <c r="P301" s="324"/>
      <c r="Q301" s="323"/>
      <c r="R301" s="324"/>
      <c r="S301" s="325"/>
      <c r="T301" s="324"/>
      <c r="U301" s="323"/>
      <c r="V301" s="324"/>
      <c r="W301" s="325"/>
      <c r="X301" s="324"/>
      <c r="Y301" s="323"/>
      <c r="Z301" s="324"/>
      <c r="AA301" s="325"/>
      <c r="AB301" s="324"/>
      <c r="AC301" s="323"/>
      <c r="AD301" s="324"/>
      <c r="AE301" s="325"/>
      <c r="AF301" s="324"/>
      <c r="AG301" s="323"/>
      <c r="AH301" s="324"/>
      <c r="AI301" s="325"/>
      <c r="AJ301" s="324"/>
      <c r="AK301" s="323"/>
      <c r="AL301" s="324"/>
      <c r="AM301" s="325"/>
      <c r="AN301" s="324"/>
    </row>
    <row r="302" spans="1:40">
      <c r="A302" s="161" t="s">
        <v>640</v>
      </c>
      <c r="B302" s="164" t="s">
        <v>71</v>
      </c>
      <c r="C302" s="165">
        <v>162609</v>
      </c>
      <c r="D302" s="166">
        <v>10</v>
      </c>
      <c r="E302" s="323">
        <v>2970</v>
      </c>
      <c r="F302" s="324">
        <v>3210</v>
      </c>
      <c r="G302" s="325">
        <v>7590</v>
      </c>
      <c r="H302" s="324">
        <v>8280</v>
      </c>
      <c r="I302" s="323"/>
      <c r="J302" s="324"/>
      <c r="K302" s="325"/>
      <c r="L302" s="324"/>
      <c r="M302" s="323"/>
      <c r="N302" s="324"/>
      <c r="O302" s="325"/>
      <c r="P302" s="324"/>
      <c r="Q302" s="323"/>
      <c r="R302" s="324"/>
      <c r="S302" s="325"/>
      <c r="T302" s="324"/>
      <c r="U302" s="323"/>
      <c r="V302" s="324"/>
      <c r="W302" s="325"/>
      <c r="X302" s="324"/>
      <c r="Y302" s="323"/>
      <c r="Z302" s="324"/>
      <c r="AA302" s="325"/>
      <c r="AB302" s="324"/>
      <c r="AC302" s="323"/>
      <c r="AD302" s="324"/>
      <c r="AE302" s="325"/>
      <c r="AF302" s="324"/>
      <c r="AG302" s="323"/>
      <c r="AH302" s="324"/>
      <c r="AI302" s="325"/>
      <c r="AJ302" s="324"/>
      <c r="AK302" s="323"/>
      <c r="AL302" s="324"/>
      <c r="AM302" s="325"/>
      <c r="AN302" s="324"/>
    </row>
    <row r="303" spans="1:40">
      <c r="A303" s="161" t="s">
        <v>640</v>
      </c>
      <c r="B303" s="234" t="s">
        <v>73</v>
      </c>
      <c r="C303" s="161">
        <v>164313</v>
      </c>
      <c r="D303" s="163">
        <v>10</v>
      </c>
      <c r="E303" s="323">
        <v>2474</v>
      </c>
      <c r="F303" s="324">
        <v>2624</v>
      </c>
      <c r="G303" s="325">
        <v>7034</v>
      </c>
      <c r="H303" s="324">
        <v>7364</v>
      </c>
      <c r="I303" s="323"/>
      <c r="J303" s="324"/>
      <c r="K303" s="325"/>
      <c r="L303" s="324"/>
      <c r="M303" s="323"/>
      <c r="N303" s="324"/>
      <c r="O303" s="325"/>
      <c r="P303" s="324"/>
      <c r="Q303" s="323"/>
      <c r="R303" s="324"/>
      <c r="S303" s="325"/>
      <c r="T303" s="324"/>
      <c r="U303" s="323"/>
      <c r="V303" s="324"/>
      <c r="W303" s="325"/>
      <c r="X303" s="324"/>
      <c r="Y303" s="323"/>
      <c r="Z303" s="324"/>
      <c r="AA303" s="325"/>
      <c r="AB303" s="324"/>
      <c r="AC303" s="323"/>
      <c r="AD303" s="324"/>
      <c r="AE303" s="325"/>
      <c r="AF303" s="324"/>
      <c r="AG303" s="323"/>
      <c r="AH303" s="324"/>
      <c r="AI303" s="325"/>
      <c r="AJ303" s="324"/>
      <c r="AK303" s="323"/>
      <c r="AL303" s="324"/>
      <c r="AM303" s="325"/>
      <c r="AN303" s="324"/>
    </row>
    <row r="304" spans="1:40">
      <c r="A304" s="161" t="s">
        <v>640</v>
      </c>
      <c r="B304" s="162" t="s">
        <v>74</v>
      </c>
      <c r="C304" s="161">
        <v>163204</v>
      </c>
      <c r="D304" s="163">
        <v>15</v>
      </c>
      <c r="E304" s="323">
        <v>5520</v>
      </c>
      <c r="F304" s="324">
        <v>5760</v>
      </c>
      <c r="G304" s="356">
        <v>12000</v>
      </c>
      <c r="H304" s="324">
        <v>12216</v>
      </c>
      <c r="I304" s="355">
        <v>10128</v>
      </c>
      <c r="J304" s="324">
        <v>10512</v>
      </c>
      <c r="K304" s="356">
        <v>16056</v>
      </c>
      <c r="L304" s="324">
        <v>16056</v>
      </c>
      <c r="M304" s="323"/>
      <c r="N304" s="324"/>
      <c r="O304" s="325"/>
      <c r="P304" s="324"/>
      <c r="Q304" s="323"/>
      <c r="R304" s="324"/>
      <c r="S304" s="325"/>
      <c r="T304" s="324"/>
      <c r="U304" s="323"/>
      <c r="V304" s="324"/>
      <c r="W304" s="325"/>
      <c r="X304" s="324"/>
      <c r="Y304" s="323"/>
      <c r="Z304" s="324"/>
      <c r="AA304" s="325"/>
      <c r="AB304" s="324"/>
      <c r="AC304" s="323"/>
      <c r="AD304" s="324"/>
      <c r="AE304" s="325"/>
      <c r="AF304" s="324"/>
      <c r="AG304" s="323"/>
      <c r="AH304" s="324"/>
      <c r="AI304" s="325"/>
      <c r="AJ304" s="324"/>
      <c r="AK304" s="323"/>
      <c r="AL304" s="324"/>
      <c r="AM304" s="325"/>
      <c r="AN304" s="324"/>
    </row>
    <row r="305" spans="1:45">
      <c r="A305" s="161" t="s">
        <v>640</v>
      </c>
      <c r="B305" s="164" t="s">
        <v>75</v>
      </c>
      <c r="C305" s="161">
        <v>163259</v>
      </c>
      <c r="D305" s="163">
        <v>15</v>
      </c>
      <c r="E305" s="355">
        <v>7803</v>
      </c>
      <c r="F305" s="324">
        <v>7941</v>
      </c>
      <c r="G305" s="325">
        <v>21542</v>
      </c>
      <c r="H305" s="324">
        <v>23560</v>
      </c>
      <c r="I305" s="323">
        <v>12237</v>
      </c>
      <c r="J305" s="324">
        <v>13866</v>
      </c>
      <c r="K305" s="356">
        <v>21614</v>
      </c>
      <c r="L305" s="324">
        <v>23144</v>
      </c>
      <c r="M305" s="323">
        <v>22044</v>
      </c>
      <c r="N305" s="324">
        <v>23762</v>
      </c>
      <c r="O305" s="325">
        <v>33323</v>
      </c>
      <c r="P305" s="324">
        <v>35041</v>
      </c>
      <c r="Q305" s="323">
        <v>23509</v>
      </c>
      <c r="R305" s="324">
        <v>24989</v>
      </c>
      <c r="S305" s="325">
        <v>42419</v>
      </c>
      <c r="T305" s="324">
        <v>45033</v>
      </c>
      <c r="U305" s="323">
        <v>20936</v>
      </c>
      <c r="V305" s="324">
        <v>22437</v>
      </c>
      <c r="W305" s="325">
        <v>44321</v>
      </c>
      <c r="X305" s="324">
        <v>48193</v>
      </c>
      <c r="Y305" s="323">
        <v>15376</v>
      </c>
      <c r="Z305" s="324">
        <v>16634</v>
      </c>
      <c r="AA305" s="325">
        <v>29512</v>
      </c>
      <c r="AB305" s="324">
        <v>31340</v>
      </c>
      <c r="AC305" s="323"/>
      <c r="AD305" s="324"/>
      <c r="AE305" s="325"/>
      <c r="AF305" s="324"/>
      <c r="AG305" s="323"/>
      <c r="AH305" s="324"/>
      <c r="AI305" s="325"/>
      <c r="AJ305" s="324"/>
      <c r="AK305" s="323"/>
      <c r="AL305" s="324"/>
      <c r="AM305" s="325"/>
      <c r="AN305" s="324"/>
    </row>
    <row r="306" spans="1:45">
      <c r="A306" s="218" t="s">
        <v>641</v>
      </c>
      <c r="B306" s="219" t="s">
        <v>776</v>
      </c>
      <c r="C306" s="218">
        <v>176080</v>
      </c>
      <c r="D306" s="218">
        <v>1</v>
      </c>
      <c r="E306" s="323">
        <v>5151</v>
      </c>
      <c r="F306" s="324">
        <v>5151</v>
      </c>
      <c r="G306" s="325">
        <v>12501</v>
      </c>
      <c r="H306" s="324">
        <v>13019</v>
      </c>
      <c r="I306" s="323">
        <v>5151</v>
      </c>
      <c r="J306" s="324">
        <v>5151</v>
      </c>
      <c r="K306" s="325">
        <v>12501</v>
      </c>
      <c r="L306" s="324">
        <v>13019</v>
      </c>
      <c r="M306" s="323"/>
      <c r="N306" s="324"/>
      <c r="O306" s="325"/>
      <c r="P306" s="324"/>
      <c r="Q306" s="323"/>
      <c r="R306" s="324"/>
      <c r="S306" s="325"/>
      <c r="T306" s="324"/>
      <c r="U306" s="323"/>
      <c r="V306" s="324"/>
      <c r="W306" s="325"/>
      <c r="X306" s="324"/>
      <c r="Y306" s="323"/>
      <c r="Z306" s="324"/>
      <c r="AA306" s="325"/>
      <c r="AB306" s="324"/>
      <c r="AC306" s="323"/>
      <c r="AD306" s="324"/>
      <c r="AE306" s="325"/>
      <c r="AF306" s="324"/>
      <c r="AG306" s="323"/>
      <c r="AH306" s="324"/>
      <c r="AI306" s="325"/>
      <c r="AJ306" s="324"/>
      <c r="AK306" s="323">
        <v>15759</v>
      </c>
      <c r="AL306" s="324">
        <v>15847</v>
      </c>
      <c r="AM306" s="325">
        <v>39184</v>
      </c>
      <c r="AN306" s="324">
        <v>36932</v>
      </c>
    </row>
    <row r="307" spans="1:45">
      <c r="A307" s="218" t="s">
        <v>641</v>
      </c>
      <c r="B307" s="219" t="s">
        <v>777</v>
      </c>
      <c r="C307" s="218">
        <v>176372</v>
      </c>
      <c r="D307" s="218">
        <v>1</v>
      </c>
      <c r="E307" s="323">
        <v>5096</v>
      </c>
      <c r="F307" s="324">
        <v>5096</v>
      </c>
      <c r="G307" s="325">
        <v>12745</v>
      </c>
      <c r="H307" s="324">
        <v>13050.96</v>
      </c>
      <c r="I307" s="323">
        <v>5096</v>
      </c>
      <c r="J307" s="324">
        <v>5096</v>
      </c>
      <c r="K307" s="325">
        <v>12745</v>
      </c>
      <c r="L307" s="324">
        <v>13050.96</v>
      </c>
      <c r="M307" s="323"/>
      <c r="N307" s="324"/>
      <c r="O307" s="325"/>
      <c r="P307" s="324"/>
      <c r="Q307" s="323"/>
      <c r="R307" s="324"/>
      <c r="S307" s="325"/>
      <c r="T307" s="324"/>
      <c r="U307" s="323"/>
      <c r="V307" s="324"/>
      <c r="W307" s="325"/>
      <c r="X307" s="324"/>
      <c r="Y307" s="323"/>
      <c r="Z307" s="324"/>
      <c r="AA307" s="325"/>
      <c r="AB307" s="324"/>
      <c r="AC307" s="323"/>
      <c r="AD307" s="324"/>
      <c r="AE307" s="325"/>
      <c r="AF307" s="324"/>
      <c r="AG307" s="323"/>
      <c r="AH307" s="324"/>
      <c r="AI307" s="325"/>
      <c r="AJ307" s="324"/>
      <c r="AK307" s="323"/>
      <c r="AL307" s="324"/>
      <c r="AM307" s="325"/>
      <c r="AN307" s="324"/>
    </row>
    <row r="308" spans="1:45">
      <c r="A308" s="218" t="s">
        <v>641</v>
      </c>
      <c r="B308" s="219" t="s">
        <v>778</v>
      </c>
      <c r="C308" s="218">
        <v>175856</v>
      </c>
      <c r="D308" s="218">
        <v>2</v>
      </c>
      <c r="E308" s="323">
        <v>4634</v>
      </c>
      <c r="F308" s="324">
        <v>4634</v>
      </c>
      <c r="G308" s="325">
        <v>10978</v>
      </c>
      <c r="H308" s="324">
        <v>11358.64</v>
      </c>
      <c r="I308" s="323">
        <v>4634</v>
      </c>
      <c r="J308" s="324">
        <v>4634</v>
      </c>
      <c r="K308" s="325">
        <v>10978</v>
      </c>
      <c r="L308" s="324">
        <v>11358.64</v>
      </c>
      <c r="M308" s="323"/>
      <c r="N308" s="324"/>
      <c r="O308" s="325"/>
      <c r="P308" s="324"/>
      <c r="Q308" s="323"/>
      <c r="R308" s="324"/>
      <c r="S308" s="325"/>
      <c r="T308" s="324"/>
      <c r="U308" s="323"/>
      <c r="V308" s="324"/>
      <c r="W308" s="325"/>
      <c r="X308" s="324"/>
      <c r="Y308" s="323"/>
      <c r="Z308" s="324"/>
      <c r="AA308" s="325"/>
      <c r="AB308" s="324"/>
      <c r="AC308" s="323"/>
      <c r="AD308" s="324"/>
      <c r="AE308" s="325"/>
      <c r="AF308" s="324"/>
      <c r="AG308" s="323"/>
      <c r="AH308" s="324"/>
      <c r="AI308" s="325"/>
      <c r="AJ308" s="324"/>
      <c r="AK308" s="323"/>
      <c r="AL308" s="324"/>
      <c r="AM308" s="325"/>
      <c r="AN308" s="324"/>
    </row>
    <row r="309" spans="1:45">
      <c r="A309" s="218" t="s">
        <v>641</v>
      </c>
      <c r="B309" s="219" t="s">
        <v>779</v>
      </c>
      <c r="C309" s="218">
        <v>176017</v>
      </c>
      <c r="D309" s="218">
        <v>2</v>
      </c>
      <c r="E309" s="323">
        <v>5107</v>
      </c>
      <c r="F309" s="324">
        <v>5107</v>
      </c>
      <c r="G309" s="325">
        <v>12467</v>
      </c>
      <c r="H309" s="324">
        <v>13046</v>
      </c>
      <c r="I309" s="323">
        <v>5107</v>
      </c>
      <c r="J309" s="324">
        <v>5107</v>
      </c>
      <c r="K309" s="325">
        <v>12467</v>
      </c>
      <c r="L309" s="324">
        <v>13046</v>
      </c>
      <c r="M309" s="323">
        <v>9350</v>
      </c>
      <c r="N309" s="324">
        <v>9350</v>
      </c>
      <c r="O309" s="325">
        <v>19620</v>
      </c>
      <c r="P309" s="324">
        <v>20444</v>
      </c>
      <c r="Q309" s="323"/>
      <c r="R309" s="324"/>
      <c r="S309" s="325"/>
      <c r="T309" s="324"/>
      <c r="U309" s="323"/>
      <c r="V309" s="324"/>
      <c r="W309" s="325"/>
      <c r="X309" s="324"/>
      <c r="Y309" s="323">
        <v>11298</v>
      </c>
      <c r="Z309" s="324">
        <v>12348</v>
      </c>
      <c r="AA309" s="325">
        <v>23037</v>
      </c>
      <c r="AB309" s="324">
        <v>26665</v>
      </c>
      <c r="AC309" s="323"/>
      <c r="AD309" s="324"/>
      <c r="AE309" s="325"/>
      <c r="AF309" s="324"/>
      <c r="AG309" s="323"/>
      <c r="AH309" s="324"/>
      <c r="AI309" s="325"/>
      <c r="AJ309" s="324"/>
      <c r="AK309" s="323"/>
      <c r="AL309" s="324"/>
      <c r="AM309" s="325"/>
      <c r="AN309" s="324"/>
    </row>
    <row r="310" spans="1:45">
      <c r="A310" s="218" t="s">
        <v>641</v>
      </c>
      <c r="B310" s="221" t="s">
        <v>780</v>
      </c>
      <c r="C310" s="218">
        <v>175342</v>
      </c>
      <c r="D310" s="218">
        <v>4</v>
      </c>
      <c r="E310" s="323">
        <v>4498</v>
      </c>
      <c r="F310" s="324">
        <v>4498</v>
      </c>
      <c r="G310" s="325">
        <v>10692</v>
      </c>
      <c r="H310" s="324">
        <v>11063.64</v>
      </c>
      <c r="I310" s="323">
        <v>4498</v>
      </c>
      <c r="J310" s="324">
        <v>4498</v>
      </c>
      <c r="K310" s="325">
        <v>10692</v>
      </c>
      <c r="L310" s="324">
        <v>11063.64</v>
      </c>
      <c r="M310" s="323"/>
      <c r="N310" s="324"/>
      <c r="O310" s="325"/>
      <c r="P310" s="324"/>
      <c r="Q310" s="323"/>
      <c r="R310" s="324"/>
      <c r="S310" s="325"/>
      <c r="T310" s="324"/>
      <c r="U310" s="323"/>
      <c r="V310" s="324"/>
      <c r="W310" s="325"/>
      <c r="X310" s="324"/>
      <c r="Y310" s="323"/>
      <c r="Z310" s="324"/>
      <c r="AA310" s="325"/>
      <c r="AB310" s="324"/>
      <c r="AC310" s="323"/>
      <c r="AD310" s="324"/>
      <c r="AE310" s="325"/>
      <c r="AF310" s="324"/>
      <c r="AG310" s="323"/>
      <c r="AH310" s="324"/>
      <c r="AI310" s="325"/>
      <c r="AJ310" s="324"/>
      <c r="AK310" s="323"/>
      <c r="AL310" s="324"/>
      <c r="AM310" s="325"/>
      <c r="AN310" s="324"/>
    </row>
    <row r="311" spans="1:45">
      <c r="A311" s="218" t="s">
        <v>641</v>
      </c>
      <c r="B311" s="219" t="s">
        <v>781</v>
      </c>
      <c r="C311" s="220">
        <v>175616</v>
      </c>
      <c r="D311" s="203">
        <v>4</v>
      </c>
      <c r="E311" s="323">
        <v>4449</v>
      </c>
      <c r="F311" s="324">
        <v>4449</v>
      </c>
      <c r="G311" s="325">
        <v>11182</v>
      </c>
      <c r="H311" s="324">
        <v>11518.65</v>
      </c>
      <c r="I311" s="323">
        <v>4449</v>
      </c>
      <c r="J311" s="324">
        <v>4449</v>
      </c>
      <c r="K311" s="325">
        <v>11182</v>
      </c>
      <c r="L311" s="324">
        <v>11518.65</v>
      </c>
      <c r="M311" s="323"/>
      <c r="N311" s="324"/>
      <c r="O311" s="325"/>
      <c r="P311" s="324"/>
      <c r="Q311" s="323"/>
      <c r="R311" s="324"/>
      <c r="S311" s="325"/>
      <c r="T311" s="324"/>
      <c r="U311" s="323"/>
      <c r="V311" s="324"/>
      <c r="W311" s="325"/>
      <c r="X311" s="324"/>
      <c r="Y311" s="323"/>
      <c r="Z311" s="324"/>
      <c r="AA311" s="325"/>
      <c r="AB311" s="324"/>
      <c r="AC311" s="323"/>
      <c r="AD311" s="324"/>
      <c r="AE311" s="325"/>
      <c r="AF311" s="324"/>
      <c r="AG311" s="323"/>
      <c r="AH311" s="324"/>
      <c r="AI311" s="325"/>
      <c r="AJ311" s="324"/>
      <c r="AK311" s="323"/>
      <c r="AL311" s="324"/>
      <c r="AM311" s="325"/>
      <c r="AN311" s="324"/>
    </row>
    <row r="312" spans="1:45">
      <c r="A312" s="218" t="s">
        <v>641</v>
      </c>
      <c r="B312" s="358" t="s">
        <v>783</v>
      </c>
      <c r="C312" s="359">
        <v>176044</v>
      </c>
      <c r="D312" s="336">
        <v>4</v>
      </c>
      <c r="E312" s="323">
        <v>4575</v>
      </c>
      <c r="F312" s="324">
        <v>4575</v>
      </c>
      <c r="G312" s="325">
        <v>11116</v>
      </c>
      <c r="H312" s="324">
        <v>11410.345000000001</v>
      </c>
      <c r="I312" s="323">
        <v>4575</v>
      </c>
      <c r="J312" s="324">
        <v>4575</v>
      </c>
      <c r="K312" s="325">
        <v>11116</v>
      </c>
      <c r="L312" s="324">
        <v>11410.345000000001</v>
      </c>
      <c r="M312" s="323"/>
      <c r="N312" s="324"/>
      <c r="O312" s="325"/>
      <c r="P312" s="324"/>
      <c r="Q312" s="323"/>
      <c r="R312" s="324"/>
      <c r="S312" s="325"/>
      <c r="T312" s="324"/>
      <c r="U312" s="323"/>
      <c r="V312" s="324"/>
      <c r="W312" s="325"/>
      <c r="X312" s="324"/>
      <c r="Y312" s="323"/>
      <c r="Z312" s="324"/>
      <c r="AA312" s="325"/>
      <c r="AB312" s="324"/>
      <c r="AC312" s="323"/>
      <c r="AD312" s="324"/>
      <c r="AE312" s="325"/>
      <c r="AF312" s="324"/>
      <c r="AG312" s="323"/>
      <c r="AH312" s="324"/>
      <c r="AI312" s="325"/>
      <c r="AJ312" s="324"/>
      <c r="AK312" s="323"/>
      <c r="AL312" s="324"/>
      <c r="AM312" s="325"/>
      <c r="AN312" s="324"/>
      <c r="AO312" s="453"/>
      <c r="AP312" s="453"/>
      <c r="AQ312" s="453"/>
      <c r="AR312" s="453"/>
      <c r="AS312" s="453"/>
    </row>
    <row r="313" spans="1:45">
      <c r="A313" s="218" t="s">
        <v>641</v>
      </c>
      <c r="B313" s="221" t="s">
        <v>782</v>
      </c>
      <c r="C313" s="218">
        <v>176035</v>
      </c>
      <c r="D313" s="218">
        <v>5</v>
      </c>
      <c r="E313" s="323">
        <v>4423</v>
      </c>
      <c r="F313" s="324">
        <v>4423</v>
      </c>
      <c r="G313" s="325">
        <v>11688</v>
      </c>
      <c r="H313" s="324">
        <v>12051.25</v>
      </c>
      <c r="I313" s="323">
        <v>4423</v>
      </c>
      <c r="J313" s="324">
        <v>4423</v>
      </c>
      <c r="K313" s="325">
        <v>11688</v>
      </c>
      <c r="L313" s="324">
        <v>12051.25</v>
      </c>
      <c r="M313" s="323"/>
      <c r="N313" s="324"/>
      <c r="O313" s="325"/>
      <c r="P313" s="324"/>
      <c r="Q313" s="323"/>
      <c r="R313" s="324"/>
      <c r="S313" s="325"/>
      <c r="T313" s="324"/>
      <c r="U313" s="323"/>
      <c r="V313" s="324"/>
      <c r="W313" s="325"/>
      <c r="X313" s="324"/>
      <c r="Y313" s="323"/>
      <c r="Z313" s="324"/>
      <c r="AA313" s="325"/>
      <c r="AB313" s="324"/>
      <c r="AC313" s="323"/>
      <c r="AD313" s="324"/>
      <c r="AE313" s="325"/>
      <c r="AF313" s="324"/>
      <c r="AG313" s="323"/>
      <c r="AH313" s="324"/>
      <c r="AI313" s="325"/>
      <c r="AJ313" s="324"/>
      <c r="AK313" s="323"/>
      <c r="AL313" s="324"/>
      <c r="AM313" s="325"/>
      <c r="AN313" s="324"/>
      <c r="AO313" s="453"/>
      <c r="AP313" s="453"/>
      <c r="AQ313" s="453"/>
      <c r="AR313" s="453"/>
      <c r="AS313" s="453"/>
    </row>
    <row r="314" spans="1:45" s="453" customFormat="1">
      <c r="A314" s="218" t="s">
        <v>641</v>
      </c>
      <c r="B314" s="221" t="s">
        <v>784</v>
      </c>
      <c r="C314" s="218">
        <v>176026</v>
      </c>
      <c r="D314" s="218">
        <v>15</v>
      </c>
      <c r="E314" s="323">
        <v>5107</v>
      </c>
      <c r="F314" s="324">
        <v>5107</v>
      </c>
      <c r="G314" s="325">
        <v>12467</v>
      </c>
      <c r="H314" s="324">
        <v>13046</v>
      </c>
      <c r="I314" s="323">
        <v>5107</v>
      </c>
      <c r="J314" s="324">
        <v>5107</v>
      </c>
      <c r="K314" s="325">
        <v>12467</v>
      </c>
      <c r="L314" s="324">
        <v>13046</v>
      </c>
      <c r="M314" s="323"/>
      <c r="N314" s="324"/>
      <c r="O314" s="325"/>
      <c r="P314" s="324"/>
      <c r="Q314" s="323">
        <v>11649</v>
      </c>
      <c r="R314" s="324">
        <v>13649</v>
      </c>
      <c r="S314" s="325">
        <v>27142</v>
      </c>
      <c r="T314" s="324">
        <v>31802</v>
      </c>
      <c r="U314" s="323">
        <v>11530</v>
      </c>
      <c r="V314" s="324">
        <v>14030</v>
      </c>
      <c r="W314" s="325">
        <v>26865</v>
      </c>
      <c r="X314" s="324">
        <v>32690</v>
      </c>
      <c r="Y314" s="323"/>
      <c r="Z314" s="324"/>
      <c r="AA314" s="325"/>
      <c r="AB314" s="324"/>
      <c r="AC314" s="323"/>
      <c r="AD314" s="324"/>
      <c r="AE314" s="325"/>
      <c r="AF314" s="324"/>
      <c r="AG314" s="323"/>
      <c r="AH314" s="324"/>
      <c r="AI314" s="325"/>
      <c r="AJ314" s="324"/>
      <c r="AK314" s="323"/>
      <c r="AL314" s="324"/>
      <c r="AM314" s="325"/>
      <c r="AN314" s="324"/>
      <c r="AO314" s="86"/>
      <c r="AP314" s="86"/>
      <c r="AQ314" s="86"/>
      <c r="AR314" s="86"/>
      <c r="AS314" s="86"/>
    </row>
    <row r="315" spans="1:45">
      <c r="A315" s="445" t="s">
        <v>641</v>
      </c>
      <c r="B315" s="196" t="s">
        <v>1099</v>
      </c>
      <c r="C315" s="446">
        <v>175786</v>
      </c>
      <c r="D315" s="447">
        <v>8</v>
      </c>
      <c r="E315" s="323">
        <v>1740</v>
      </c>
      <c r="F315" s="324">
        <f>880+880</f>
        <v>1760</v>
      </c>
      <c r="G315" s="325">
        <f>+E315+1103*2</f>
        <v>3946</v>
      </c>
      <c r="H315" s="324">
        <f>+F315+(1103*2)</f>
        <v>3966</v>
      </c>
      <c r="I315" s="323"/>
      <c r="J315" s="324"/>
      <c r="K315" s="325"/>
      <c r="L315" s="324"/>
      <c r="M315" s="323"/>
      <c r="N315" s="324"/>
      <c r="O315" s="325"/>
      <c r="P315" s="324"/>
      <c r="Q315" s="323"/>
      <c r="R315" s="324"/>
      <c r="S315" s="325"/>
      <c r="T315" s="324"/>
      <c r="U315" s="323"/>
      <c r="V315" s="324"/>
      <c r="W315" s="325"/>
      <c r="X315" s="324"/>
      <c r="Y315" s="323"/>
      <c r="Z315" s="324"/>
      <c r="AA315" s="325"/>
      <c r="AB315" s="324"/>
      <c r="AC315" s="323"/>
      <c r="AD315" s="324"/>
      <c r="AE315" s="325"/>
      <c r="AF315" s="324"/>
      <c r="AG315" s="323"/>
      <c r="AH315" s="324"/>
      <c r="AI315" s="325"/>
      <c r="AJ315" s="324"/>
      <c r="AK315" s="323"/>
      <c r="AL315" s="324"/>
      <c r="AM315" s="325"/>
      <c r="AN315" s="324"/>
    </row>
    <row r="316" spans="1:45" s="453" customFormat="1">
      <c r="A316" s="445" t="s">
        <v>641</v>
      </c>
      <c r="B316" s="448" t="s">
        <v>1100</v>
      </c>
      <c r="C316" s="445">
        <v>176071</v>
      </c>
      <c r="D316" s="151">
        <v>8</v>
      </c>
      <c r="E316" s="323">
        <v>1752</v>
      </c>
      <c r="F316" s="324">
        <f>986+986</f>
        <v>1972</v>
      </c>
      <c r="G316" s="325">
        <f>+E316+923*2</f>
        <v>3598</v>
      </c>
      <c r="H316" s="324">
        <f>+F316+(923*2)</f>
        <v>3818</v>
      </c>
      <c r="I316" s="323"/>
      <c r="J316" s="324"/>
      <c r="K316" s="325"/>
      <c r="L316" s="324"/>
      <c r="M316" s="323"/>
      <c r="N316" s="324"/>
      <c r="O316" s="325"/>
      <c r="P316" s="324"/>
      <c r="Q316" s="323"/>
      <c r="R316" s="324"/>
      <c r="S316" s="325"/>
      <c r="T316" s="324"/>
      <c r="U316" s="323"/>
      <c r="V316" s="324"/>
      <c r="W316" s="325"/>
      <c r="X316" s="324"/>
      <c r="Y316" s="323"/>
      <c r="Z316" s="324"/>
      <c r="AA316" s="325"/>
      <c r="AB316" s="324"/>
      <c r="AC316" s="323"/>
      <c r="AD316" s="324"/>
      <c r="AE316" s="325"/>
      <c r="AF316" s="324"/>
      <c r="AG316" s="323"/>
      <c r="AH316" s="324"/>
      <c r="AI316" s="325"/>
      <c r="AJ316" s="324"/>
      <c r="AK316" s="323"/>
      <c r="AL316" s="324"/>
      <c r="AM316" s="325"/>
      <c r="AN316" s="324"/>
      <c r="AO316" s="86"/>
      <c r="AP316" s="86"/>
      <c r="AQ316" s="86"/>
      <c r="AR316" s="86"/>
      <c r="AS316" s="86"/>
    </row>
    <row r="317" spans="1:45" s="453" customFormat="1">
      <c r="A317" s="445" t="s">
        <v>641</v>
      </c>
      <c r="B317" s="448" t="s">
        <v>1101</v>
      </c>
      <c r="C317" s="445">
        <v>176178</v>
      </c>
      <c r="D317" s="151">
        <v>8</v>
      </c>
      <c r="E317" s="323">
        <v>1700</v>
      </c>
      <c r="F317" s="324">
        <f>850+850</f>
        <v>1700</v>
      </c>
      <c r="G317" s="325">
        <f>+E317+1000*2</f>
        <v>3700</v>
      </c>
      <c r="H317" s="324">
        <f>+F317+(1000*2)</f>
        <v>3700</v>
      </c>
      <c r="I317" s="323"/>
      <c r="J317" s="324"/>
      <c r="K317" s="325"/>
      <c r="L317" s="324"/>
      <c r="M317" s="323"/>
      <c r="N317" s="324"/>
      <c r="O317" s="325"/>
      <c r="P317" s="324"/>
      <c r="Q317" s="323"/>
      <c r="R317" s="324"/>
      <c r="S317" s="325"/>
      <c r="T317" s="324"/>
      <c r="U317" s="323"/>
      <c r="V317" s="324"/>
      <c r="W317" s="325"/>
      <c r="X317" s="324"/>
      <c r="Y317" s="323"/>
      <c r="Z317" s="324"/>
      <c r="AA317" s="325"/>
      <c r="AB317" s="324"/>
      <c r="AC317" s="323"/>
      <c r="AD317" s="324"/>
      <c r="AE317" s="325"/>
      <c r="AF317" s="324"/>
      <c r="AG317" s="323"/>
      <c r="AH317" s="324"/>
      <c r="AI317" s="325"/>
      <c r="AJ317" s="324"/>
      <c r="AK317" s="323"/>
      <c r="AL317" s="324"/>
      <c r="AM317" s="325"/>
      <c r="AN317" s="324"/>
      <c r="AO317" s="86"/>
      <c r="AP317" s="86"/>
      <c r="AQ317" s="86"/>
      <c r="AR317" s="86"/>
      <c r="AS317" s="86"/>
    </row>
    <row r="318" spans="1:45" s="451" customFormat="1">
      <c r="A318" s="445" t="s">
        <v>641</v>
      </c>
      <c r="B318" s="196" t="s">
        <v>1102</v>
      </c>
      <c r="C318" s="446">
        <v>175573</v>
      </c>
      <c r="D318" s="447">
        <v>9</v>
      </c>
      <c r="E318" s="323">
        <v>1800</v>
      </c>
      <c r="F318" s="324">
        <f>900+900</f>
        <v>1800</v>
      </c>
      <c r="G318" s="325">
        <f>+E318+900*2</f>
        <v>3600</v>
      </c>
      <c r="H318" s="324">
        <f>+F318+(900*2)</f>
        <v>3600</v>
      </c>
      <c r="I318" s="323"/>
      <c r="J318" s="324"/>
      <c r="K318" s="325"/>
      <c r="L318" s="324"/>
      <c r="M318" s="323"/>
      <c r="N318" s="324"/>
      <c r="O318" s="325"/>
      <c r="P318" s="324"/>
      <c r="Q318" s="323"/>
      <c r="R318" s="324"/>
      <c r="S318" s="325"/>
      <c r="T318" s="324"/>
      <c r="U318" s="323"/>
      <c r="V318" s="324"/>
      <c r="W318" s="325"/>
      <c r="X318" s="324"/>
      <c r="Y318" s="323"/>
      <c r="Z318" s="324"/>
      <c r="AA318" s="325"/>
      <c r="AB318" s="324"/>
      <c r="AC318" s="323"/>
      <c r="AD318" s="324"/>
      <c r="AE318" s="325"/>
      <c r="AF318" s="324"/>
      <c r="AG318" s="323"/>
      <c r="AH318" s="324"/>
      <c r="AI318" s="325"/>
      <c r="AJ318" s="324"/>
      <c r="AK318" s="323"/>
      <c r="AL318" s="324"/>
      <c r="AM318" s="325"/>
      <c r="AN318" s="324"/>
      <c r="AO318" s="86"/>
      <c r="AP318" s="86"/>
      <c r="AQ318" s="86"/>
      <c r="AR318" s="86"/>
      <c r="AS318" s="86"/>
    </row>
    <row r="319" spans="1:45" s="451" customFormat="1">
      <c r="A319" s="445" t="s">
        <v>641</v>
      </c>
      <c r="B319" s="449" t="s">
        <v>1103</v>
      </c>
      <c r="C319" s="445">
        <v>175643</v>
      </c>
      <c r="D319" s="154">
        <v>9</v>
      </c>
      <c r="E319" s="323">
        <v>1550</v>
      </c>
      <c r="F319" s="324">
        <f>915+915</f>
        <v>1830</v>
      </c>
      <c r="G319" s="325">
        <f>+E319+1050*2</f>
        <v>3650</v>
      </c>
      <c r="H319" s="324">
        <f>+F319+(1050*2)</f>
        <v>3930</v>
      </c>
      <c r="I319" s="323"/>
      <c r="J319" s="324"/>
      <c r="K319" s="325"/>
      <c r="L319" s="324"/>
      <c r="M319" s="323"/>
      <c r="N319" s="324"/>
      <c r="O319" s="325"/>
      <c r="P319" s="324"/>
      <c r="Q319" s="323"/>
      <c r="R319" s="324"/>
      <c r="S319" s="325"/>
      <c r="T319" s="324"/>
      <c r="U319" s="323"/>
      <c r="V319" s="324"/>
      <c r="W319" s="325"/>
      <c r="X319" s="324"/>
      <c r="Y319" s="323"/>
      <c r="Z319" s="324"/>
      <c r="AA319" s="325"/>
      <c r="AB319" s="324"/>
      <c r="AC319" s="323"/>
      <c r="AD319" s="324"/>
      <c r="AE319" s="325"/>
      <c r="AF319" s="324"/>
      <c r="AG319" s="323"/>
      <c r="AH319" s="324"/>
      <c r="AI319" s="325"/>
      <c r="AJ319" s="324"/>
      <c r="AK319" s="323"/>
      <c r="AL319" s="324"/>
      <c r="AM319" s="325"/>
      <c r="AN319" s="324"/>
      <c r="AO319" s="86"/>
      <c r="AP319" s="86"/>
      <c r="AQ319" s="86"/>
      <c r="AR319" s="86"/>
      <c r="AS319" s="86"/>
    </row>
    <row r="320" spans="1:45" s="451" customFormat="1">
      <c r="A320" s="445" t="s">
        <v>641</v>
      </c>
      <c r="B320" s="448" t="s">
        <v>1104</v>
      </c>
      <c r="C320" s="445">
        <v>175652</v>
      </c>
      <c r="D320" s="154">
        <v>9</v>
      </c>
      <c r="E320" s="323">
        <v>1820</v>
      </c>
      <c r="F320" s="324">
        <f>1000+1000</f>
        <v>2000</v>
      </c>
      <c r="G320" s="325">
        <f>+E320+875*2</f>
        <v>3570</v>
      </c>
      <c r="H320" s="324">
        <f>+F320+(900*2)</f>
        <v>3800</v>
      </c>
      <c r="I320" s="323"/>
      <c r="J320" s="324"/>
      <c r="K320" s="325"/>
      <c r="L320" s="324"/>
      <c r="M320" s="323"/>
      <c r="N320" s="324"/>
      <c r="O320" s="325"/>
      <c r="P320" s="324"/>
      <c r="Q320" s="323"/>
      <c r="R320" s="324"/>
      <c r="S320" s="325"/>
      <c r="T320" s="324"/>
      <c r="U320" s="323"/>
      <c r="V320" s="324"/>
      <c r="W320" s="325"/>
      <c r="X320" s="324"/>
      <c r="Y320" s="323"/>
      <c r="Z320" s="324"/>
      <c r="AA320" s="325"/>
      <c r="AB320" s="324"/>
      <c r="AC320" s="323"/>
      <c r="AD320" s="324"/>
      <c r="AE320" s="325"/>
      <c r="AF320" s="324"/>
      <c r="AG320" s="323"/>
      <c r="AH320" s="324"/>
      <c r="AI320" s="325"/>
      <c r="AJ320" s="324"/>
      <c r="AK320" s="323"/>
      <c r="AL320" s="324"/>
      <c r="AM320" s="325"/>
      <c r="AN320" s="324"/>
      <c r="AO320" s="86"/>
      <c r="AP320" s="86"/>
      <c r="AQ320" s="86"/>
      <c r="AR320" s="86"/>
      <c r="AS320" s="86"/>
    </row>
    <row r="321" spans="1:45" s="451" customFormat="1">
      <c r="A321" s="445" t="s">
        <v>641</v>
      </c>
      <c r="B321" s="448" t="s">
        <v>1105</v>
      </c>
      <c r="C321" s="445">
        <v>175810</v>
      </c>
      <c r="D321" s="151">
        <v>9</v>
      </c>
      <c r="E321" s="323">
        <v>1624</v>
      </c>
      <c r="F321" s="324">
        <f>794+794</f>
        <v>1588</v>
      </c>
      <c r="G321" s="325">
        <f>+E321+975*2</f>
        <v>3574</v>
      </c>
      <c r="H321" s="324">
        <f>+F321+(975*2)</f>
        <v>3538</v>
      </c>
      <c r="I321" s="323"/>
      <c r="J321" s="324"/>
      <c r="K321" s="325"/>
      <c r="L321" s="324"/>
      <c r="M321" s="323"/>
      <c r="N321" s="324"/>
      <c r="O321" s="325"/>
      <c r="P321" s="324"/>
      <c r="Q321" s="323"/>
      <c r="R321" s="324"/>
      <c r="S321" s="325"/>
      <c r="T321" s="324"/>
      <c r="U321" s="323"/>
      <c r="V321" s="324"/>
      <c r="W321" s="325"/>
      <c r="X321" s="324"/>
      <c r="Y321" s="323"/>
      <c r="Z321" s="324"/>
      <c r="AA321" s="325"/>
      <c r="AB321" s="324"/>
      <c r="AC321" s="323"/>
      <c r="AD321" s="324"/>
      <c r="AE321" s="325"/>
      <c r="AF321" s="324"/>
      <c r="AG321" s="323"/>
      <c r="AH321" s="324"/>
      <c r="AI321" s="325"/>
      <c r="AJ321" s="324"/>
      <c r="AK321" s="323"/>
      <c r="AL321" s="324"/>
      <c r="AM321" s="325"/>
      <c r="AN321" s="324"/>
      <c r="AO321" s="86"/>
      <c r="AP321" s="86"/>
      <c r="AQ321" s="86"/>
      <c r="AR321" s="86"/>
      <c r="AS321" s="86"/>
    </row>
    <row r="322" spans="1:45" s="451" customFormat="1">
      <c r="A322" s="445" t="s">
        <v>641</v>
      </c>
      <c r="B322" s="450" t="s">
        <v>1106</v>
      </c>
      <c r="C322" s="197">
        <v>175829</v>
      </c>
      <c r="D322" s="151">
        <v>9</v>
      </c>
      <c r="E322" s="323">
        <v>1660</v>
      </c>
      <c r="F322" s="324">
        <f>830+830</f>
        <v>1660</v>
      </c>
      <c r="G322" s="325">
        <f>+E322+875*2</f>
        <v>3410</v>
      </c>
      <c r="H322" s="324">
        <f>+F322+(875*2)</f>
        <v>3410</v>
      </c>
      <c r="I322" s="323"/>
      <c r="J322" s="324"/>
      <c r="K322" s="325"/>
      <c r="L322" s="324"/>
      <c r="M322" s="323"/>
      <c r="N322" s="324"/>
      <c r="O322" s="325"/>
      <c r="P322" s="324"/>
      <c r="Q322" s="323"/>
      <c r="R322" s="324"/>
      <c r="S322" s="325"/>
      <c r="T322" s="324"/>
      <c r="U322" s="323"/>
      <c r="V322" s="324"/>
      <c r="W322" s="325"/>
      <c r="X322" s="324"/>
      <c r="Y322" s="323"/>
      <c r="Z322" s="324"/>
      <c r="AA322" s="325"/>
      <c r="AB322" s="324"/>
      <c r="AC322" s="323"/>
      <c r="AD322" s="324"/>
      <c r="AE322" s="325"/>
      <c r="AF322" s="324"/>
      <c r="AG322" s="323"/>
      <c r="AH322" s="324"/>
      <c r="AI322" s="325"/>
      <c r="AJ322" s="324"/>
      <c r="AK322" s="323"/>
      <c r="AL322" s="324"/>
      <c r="AM322" s="325"/>
      <c r="AN322" s="324"/>
      <c r="AO322" s="86"/>
      <c r="AP322" s="86"/>
      <c r="AQ322" s="86"/>
      <c r="AR322" s="86"/>
      <c r="AS322" s="86"/>
    </row>
    <row r="323" spans="1:45" s="451" customFormat="1">
      <c r="A323" s="445" t="s">
        <v>641</v>
      </c>
      <c r="B323" s="448" t="s">
        <v>1107</v>
      </c>
      <c r="C323" s="445">
        <v>175883</v>
      </c>
      <c r="D323" s="151">
        <v>9</v>
      </c>
      <c r="E323" s="323">
        <v>1920</v>
      </c>
      <c r="F323" s="324">
        <f>1060+1060</f>
        <v>2120</v>
      </c>
      <c r="G323" s="325">
        <f>+E323+950*2</f>
        <v>3820</v>
      </c>
      <c r="H323" s="324">
        <f>+F323+(1000*2)</f>
        <v>4120</v>
      </c>
      <c r="I323" s="323"/>
      <c r="J323" s="324"/>
      <c r="K323" s="325"/>
      <c r="L323" s="324"/>
      <c r="M323" s="323"/>
      <c r="N323" s="324"/>
      <c r="O323" s="325"/>
      <c r="P323" s="324"/>
      <c r="Q323" s="323"/>
      <c r="R323" s="324"/>
      <c r="S323" s="325"/>
      <c r="T323" s="324"/>
      <c r="U323" s="323"/>
      <c r="V323" s="324"/>
      <c r="W323" s="325"/>
      <c r="X323" s="324"/>
      <c r="Y323" s="323"/>
      <c r="Z323" s="324"/>
      <c r="AA323" s="325"/>
      <c r="AB323" s="324"/>
      <c r="AC323" s="323"/>
      <c r="AD323" s="324"/>
      <c r="AE323" s="325"/>
      <c r="AF323" s="324"/>
      <c r="AG323" s="323"/>
      <c r="AH323" s="324"/>
      <c r="AI323" s="325"/>
      <c r="AJ323" s="324"/>
      <c r="AK323" s="323"/>
      <c r="AL323" s="324"/>
      <c r="AM323" s="325"/>
      <c r="AN323" s="324"/>
      <c r="AO323" s="86"/>
      <c r="AP323" s="86"/>
      <c r="AQ323" s="86"/>
      <c r="AR323" s="86"/>
      <c r="AS323" s="86"/>
    </row>
    <row r="324" spans="1:45" s="451" customFormat="1">
      <c r="A324" s="445" t="s">
        <v>641</v>
      </c>
      <c r="B324" s="448" t="s">
        <v>1108</v>
      </c>
      <c r="C324" s="445">
        <v>175935</v>
      </c>
      <c r="D324" s="151">
        <v>9</v>
      </c>
      <c r="E324" s="323">
        <v>1710</v>
      </c>
      <c r="F324" s="324">
        <f>890+890</f>
        <v>1780</v>
      </c>
      <c r="G324" s="325">
        <f>+E324+840*2</f>
        <v>3390</v>
      </c>
      <c r="H324" s="324">
        <f>+F324+(690*2)</f>
        <v>3160</v>
      </c>
      <c r="I324" s="323"/>
      <c r="J324" s="324"/>
      <c r="K324" s="325"/>
      <c r="L324" s="324"/>
      <c r="M324" s="323"/>
      <c r="N324" s="324"/>
      <c r="O324" s="325"/>
      <c r="P324" s="324"/>
      <c r="Q324" s="323"/>
      <c r="R324" s="324"/>
      <c r="S324" s="325"/>
      <c r="T324" s="324"/>
      <c r="U324" s="323"/>
      <c r="V324" s="324"/>
      <c r="W324" s="325"/>
      <c r="X324" s="324"/>
      <c r="Y324" s="323"/>
      <c r="Z324" s="324"/>
      <c r="AA324" s="325"/>
      <c r="AB324" s="324"/>
      <c r="AC324" s="323"/>
      <c r="AD324" s="324"/>
      <c r="AE324" s="325"/>
      <c r="AF324" s="324"/>
      <c r="AG324" s="323"/>
      <c r="AH324" s="324"/>
      <c r="AI324" s="325"/>
      <c r="AJ324" s="324"/>
      <c r="AK324" s="323"/>
      <c r="AL324" s="324"/>
      <c r="AM324" s="325"/>
      <c r="AN324" s="324"/>
      <c r="AO324" s="86"/>
      <c r="AP324" s="86"/>
      <c r="AQ324" s="86"/>
      <c r="AR324" s="86"/>
      <c r="AS324" s="86"/>
    </row>
    <row r="325" spans="1:45" s="454" customFormat="1">
      <c r="A325" s="445" t="s">
        <v>641</v>
      </c>
      <c r="B325" s="448" t="s">
        <v>1109</v>
      </c>
      <c r="C325" s="445">
        <v>176008</v>
      </c>
      <c r="D325" s="151">
        <v>9</v>
      </c>
      <c r="E325" s="323">
        <v>1920</v>
      </c>
      <c r="F325" s="324">
        <f>960+960</f>
        <v>1920</v>
      </c>
      <c r="G325" s="325">
        <f>+E325+804*2</f>
        <v>3528</v>
      </c>
      <c r="H325" s="324">
        <f>+F325+(804*2)</f>
        <v>3528</v>
      </c>
      <c r="I325" s="323"/>
      <c r="J325" s="324"/>
      <c r="K325" s="325"/>
      <c r="L325" s="324"/>
      <c r="M325" s="323"/>
      <c r="N325" s="324"/>
      <c r="O325" s="325"/>
      <c r="P325" s="324"/>
      <c r="Q325" s="323"/>
      <c r="R325" s="324"/>
      <c r="S325" s="325"/>
      <c r="T325" s="324"/>
      <c r="U325" s="323"/>
      <c r="V325" s="324"/>
      <c r="W325" s="325"/>
      <c r="X325" s="324"/>
      <c r="Y325" s="323"/>
      <c r="Z325" s="324"/>
      <c r="AA325" s="325"/>
      <c r="AB325" s="324"/>
      <c r="AC325" s="323"/>
      <c r="AD325" s="324"/>
      <c r="AE325" s="325"/>
      <c r="AF325" s="324"/>
      <c r="AG325" s="323"/>
      <c r="AH325" s="324"/>
      <c r="AI325" s="325"/>
      <c r="AJ325" s="324"/>
      <c r="AK325" s="323"/>
      <c r="AL325" s="324"/>
      <c r="AM325" s="325"/>
      <c r="AN325" s="324"/>
      <c r="AO325" s="86"/>
      <c r="AP325" s="86"/>
      <c r="AQ325" s="86"/>
      <c r="AR325" s="86"/>
      <c r="AS325" s="86"/>
    </row>
    <row r="326" spans="1:45" s="451" customFormat="1">
      <c r="A326" s="445" t="s">
        <v>641</v>
      </c>
      <c r="B326" s="448" t="s">
        <v>1110</v>
      </c>
      <c r="C326" s="445">
        <v>176169</v>
      </c>
      <c r="D326" s="151">
        <v>9</v>
      </c>
      <c r="E326" s="323">
        <v>1890</v>
      </c>
      <c r="F326" s="324">
        <f>945+945</f>
        <v>1890</v>
      </c>
      <c r="G326" s="325">
        <f>+E326+965*2</f>
        <v>3820</v>
      </c>
      <c r="H326" s="324">
        <f>+F326+(965*2)</f>
        <v>3820</v>
      </c>
      <c r="I326" s="323"/>
      <c r="J326" s="324"/>
      <c r="K326" s="325"/>
      <c r="L326" s="324"/>
      <c r="M326" s="323"/>
      <c r="N326" s="324"/>
      <c r="O326" s="325"/>
      <c r="P326" s="324"/>
      <c r="Q326" s="323"/>
      <c r="R326" s="324"/>
      <c r="S326" s="325"/>
      <c r="T326" s="324"/>
      <c r="U326" s="323"/>
      <c r="V326" s="324"/>
      <c r="W326" s="325"/>
      <c r="X326" s="324"/>
      <c r="Y326" s="323"/>
      <c r="Z326" s="324"/>
      <c r="AA326" s="325"/>
      <c r="AB326" s="324"/>
      <c r="AC326" s="323"/>
      <c r="AD326" s="324"/>
      <c r="AE326" s="325"/>
      <c r="AF326" s="324"/>
      <c r="AG326" s="323"/>
      <c r="AH326" s="324"/>
      <c r="AI326" s="325"/>
      <c r="AJ326" s="324"/>
      <c r="AK326" s="323"/>
      <c r="AL326" s="324"/>
      <c r="AM326" s="325"/>
      <c r="AN326" s="324"/>
      <c r="AO326" s="86"/>
      <c r="AP326" s="86"/>
      <c r="AQ326" s="86"/>
      <c r="AR326" s="86"/>
      <c r="AS326" s="86"/>
    </row>
    <row r="327" spans="1:45" s="451" customFormat="1">
      <c r="A327" s="445" t="s">
        <v>641</v>
      </c>
      <c r="B327" s="196" t="s">
        <v>1111</v>
      </c>
      <c r="C327" s="446">
        <v>176239</v>
      </c>
      <c r="D327" s="151">
        <v>9</v>
      </c>
      <c r="E327" s="323">
        <v>1806</v>
      </c>
      <c r="F327" s="324">
        <f>903+903</f>
        <v>1806</v>
      </c>
      <c r="G327" s="325">
        <f>+E327+1199*2</f>
        <v>4204</v>
      </c>
      <c r="H327" s="324">
        <f>+F327+(1199*2)</f>
        <v>4204</v>
      </c>
      <c r="I327" s="323"/>
      <c r="J327" s="324"/>
      <c r="K327" s="325"/>
      <c r="L327" s="324"/>
      <c r="M327" s="323"/>
      <c r="N327" s="324"/>
      <c r="O327" s="325"/>
      <c r="P327" s="324"/>
      <c r="Q327" s="323"/>
      <c r="R327" s="324"/>
      <c r="S327" s="325"/>
      <c r="T327" s="324"/>
      <c r="U327" s="323"/>
      <c r="V327" s="324"/>
      <c r="W327" s="325"/>
      <c r="X327" s="324"/>
      <c r="Y327" s="323"/>
      <c r="Z327" s="324"/>
      <c r="AA327" s="325"/>
      <c r="AB327" s="324"/>
      <c r="AC327" s="323"/>
      <c r="AD327" s="324"/>
      <c r="AE327" s="325"/>
      <c r="AF327" s="324"/>
      <c r="AG327" s="323"/>
      <c r="AH327" s="324"/>
      <c r="AI327" s="325"/>
      <c r="AJ327" s="324"/>
      <c r="AK327" s="323"/>
      <c r="AL327" s="324"/>
      <c r="AM327" s="325"/>
      <c r="AN327" s="324"/>
      <c r="AO327" s="86"/>
      <c r="AP327" s="86"/>
      <c r="AQ327" s="86"/>
      <c r="AR327" s="86"/>
      <c r="AS327" s="86"/>
    </row>
    <row r="328" spans="1:45" s="456" customFormat="1">
      <c r="A328" s="445" t="s">
        <v>641</v>
      </c>
      <c r="B328" s="448" t="s">
        <v>1112</v>
      </c>
      <c r="C328" s="445">
        <v>175519</v>
      </c>
      <c r="D328" s="151">
        <v>10</v>
      </c>
      <c r="E328" s="323">
        <v>1800</v>
      </c>
      <c r="F328" s="324">
        <f>950+950</f>
        <v>1900</v>
      </c>
      <c r="G328" s="325">
        <f>+E328+1450*2</f>
        <v>4700</v>
      </c>
      <c r="H328" s="324">
        <f>+F328+(1450*2)</f>
        <v>4800</v>
      </c>
      <c r="I328" s="323"/>
      <c r="J328" s="324"/>
      <c r="K328" s="325"/>
      <c r="L328" s="324"/>
      <c r="M328" s="323"/>
      <c r="N328" s="324"/>
      <c r="O328" s="325"/>
      <c r="P328" s="324"/>
      <c r="Q328" s="323"/>
      <c r="R328" s="324"/>
      <c r="S328" s="325"/>
      <c r="T328" s="324"/>
      <c r="U328" s="323"/>
      <c r="V328" s="324"/>
      <c r="W328" s="325"/>
      <c r="X328" s="324"/>
      <c r="Y328" s="323"/>
      <c r="Z328" s="324"/>
      <c r="AA328" s="325"/>
      <c r="AB328" s="324"/>
      <c r="AC328" s="323"/>
      <c r="AD328" s="324"/>
      <c r="AE328" s="325"/>
      <c r="AF328" s="324"/>
      <c r="AG328" s="323"/>
      <c r="AH328" s="324"/>
      <c r="AI328" s="325"/>
      <c r="AJ328" s="324"/>
      <c r="AK328" s="323"/>
      <c r="AL328" s="324"/>
      <c r="AM328" s="325"/>
      <c r="AN328" s="324"/>
      <c r="AO328" s="86"/>
      <c r="AP328" s="86"/>
      <c r="AQ328" s="86"/>
      <c r="AR328" s="86"/>
      <c r="AS328" s="86"/>
    </row>
    <row r="329" spans="1:45" s="453" customFormat="1">
      <c r="A329" s="445" t="s">
        <v>641</v>
      </c>
      <c r="B329" s="448" t="s">
        <v>1113</v>
      </c>
      <c r="C329" s="445">
        <v>176354</v>
      </c>
      <c r="D329" s="151">
        <v>10</v>
      </c>
      <c r="E329" s="323">
        <v>1800</v>
      </c>
      <c r="F329" s="324">
        <f>900+900</f>
        <v>1800</v>
      </c>
      <c r="G329" s="325">
        <f>+E329+1350*2</f>
        <v>4500</v>
      </c>
      <c r="H329" s="324">
        <f>+F329+(1350*2)</f>
        <v>4500</v>
      </c>
      <c r="I329" s="323"/>
      <c r="J329" s="324"/>
      <c r="K329" s="325"/>
      <c r="L329" s="324"/>
      <c r="M329" s="323"/>
      <c r="N329" s="324"/>
      <c r="O329" s="325"/>
      <c r="P329" s="324"/>
      <c r="Q329" s="323"/>
      <c r="R329" s="324"/>
      <c r="S329" s="325"/>
      <c r="T329" s="324"/>
      <c r="U329" s="323"/>
      <c r="V329" s="324"/>
      <c r="W329" s="325"/>
      <c r="X329" s="324"/>
      <c r="Y329" s="323"/>
      <c r="Z329" s="324"/>
      <c r="AA329" s="325"/>
      <c r="AB329" s="324"/>
      <c r="AC329" s="323"/>
      <c r="AD329" s="324"/>
      <c r="AE329" s="325"/>
      <c r="AF329" s="324"/>
      <c r="AG329" s="323"/>
      <c r="AH329" s="324"/>
      <c r="AI329" s="325"/>
      <c r="AJ329" s="324"/>
      <c r="AK329" s="323"/>
      <c r="AL329" s="324"/>
      <c r="AM329" s="325"/>
      <c r="AN329" s="324"/>
      <c r="AO329" s="86"/>
      <c r="AP329" s="86"/>
      <c r="AQ329" s="86"/>
      <c r="AR329" s="86"/>
      <c r="AS329" s="86"/>
    </row>
    <row r="330" spans="1:45">
      <c r="A330" s="176" t="s">
        <v>642</v>
      </c>
      <c r="B330" s="177" t="s">
        <v>437</v>
      </c>
      <c r="C330" s="176">
        <v>199193</v>
      </c>
      <c r="D330" s="178">
        <v>1</v>
      </c>
      <c r="E330" s="323">
        <v>5274</v>
      </c>
      <c r="F330" s="324">
        <v>5475</v>
      </c>
      <c r="G330" s="379">
        <v>17572</v>
      </c>
      <c r="H330" s="378">
        <v>17960</v>
      </c>
      <c r="I330" s="323">
        <v>5693</v>
      </c>
      <c r="J330" s="324">
        <f>4408+1532</f>
        <v>5940</v>
      </c>
      <c r="K330" s="325">
        <v>17741</v>
      </c>
      <c r="L330" s="324">
        <f>16456+1532</f>
        <v>17988</v>
      </c>
      <c r="M330" s="323"/>
      <c r="N330" s="324"/>
      <c r="O330" s="325"/>
      <c r="P330" s="324"/>
      <c r="Q330" s="323"/>
      <c r="R330" s="324"/>
      <c r="S330" s="325"/>
      <c r="T330" s="324"/>
      <c r="U330" s="323"/>
      <c r="V330" s="324"/>
      <c r="W330" s="325"/>
      <c r="X330" s="324"/>
      <c r="Y330" s="323"/>
      <c r="Z330" s="324"/>
      <c r="AA330" s="325"/>
      <c r="AB330" s="324"/>
      <c r="AC330" s="323"/>
      <c r="AD330" s="324"/>
      <c r="AE330" s="325"/>
      <c r="AF330" s="324"/>
      <c r="AG330" s="323"/>
      <c r="AH330" s="324"/>
      <c r="AI330" s="325"/>
      <c r="AJ330" s="324"/>
      <c r="AK330" s="323">
        <v>10637</v>
      </c>
      <c r="AL330" s="324">
        <f>9352+1532</f>
        <v>10884</v>
      </c>
      <c r="AM330" s="325">
        <v>33400</v>
      </c>
      <c r="AN330" s="324">
        <f>32115+1532</f>
        <v>33647</v>
      </c>
    </row>
    <row r="331" spans="1:45">
      <c r="A331" s="176" t="s">
        <v>642</v>
      </c>
      <c r="B331" s="177" t="s">
        <v>438</v>
      </c>
      <c r="C331" s="176">
        <v>199120</v>
      </c>
      <c r="D331" s="178">
        <v>1</v>
      </c>
      <c r="E331" s="323">
        <v>5397</v>
      </c>
      <c r="F331" s="324">
        <v>5625</v>
      </c>
      <c r="G331" s="468">
        <v>22295</v>
      </c>
      <c r="H331" s="378">
        <v>23513</v>
      </c>
      <c r="I331" s="323">
        <v>6693</v>
      </c>
      <c r="J331" s="324">
        <f>5413+1749</f>
        <v>7162</v>
      </c>
      <c r="K331" s="325">
        <v>21091</v>
      </c>
      <c r="L331" s="324">
        <f>19811+1749</f>
        <v>21560</v>
      </c>
      <c r="M331" s="323">
        <v>15045</v>
      </c>
      <c r="N331" s="324">
        <f>13002+3012</f>
        <v>16014</v>
      </c>
      <c r="O331" s="325">
        <v>27863</v>
      </c>
      <c r="P331" s="324">
        <f>26320+3012</f>
        <v>29332</v>
      </c>
      <c r="Q331" s="323">
        <v>12891</v>
      </c>
      <c r="R331" s="324">
        <f>11607+1753</f>
        <v>13360</v>
      </c>
      <c r="S331" s="325">
        <v>36957</v>
      </c>
      <c r="T331" s="324">
        <f>35673+1753</f>
        <v>37426</v>
      </c>
      <c r="U331" s="323">
        <v>16474</v>
      </c>
      <c r="V331" s="324">
        <f>16435+2008</f>
        <v>18443</v>
      </c>
      <c r="W331" s="325">
        <v>30856</v>
      </c>
      <c r="X331" s="324">
        <f>29317+2008</f>
        <v>31325</v>
      </c>
      <c r="Y331" s="323">
        <v>13462</v>
      </c>
      <c r="Z331" s="324">
        <f>12769+1751</f>
        <v>14520</v>
      </c>
      <c r="AA331" s="325">
        <v>29797</v>
      </c>
      <c r="AB331" s="324">
        <f>29921+1751</f>
        <v>31672</v>
      </c>
      <c r="AC331" s="323"/>
      <c r="AD331" s="324"/>
      <c r="AE331" s="325"/>
      <c r="AF331" s="324"/>
      <c r="AG331" s="323"/>
      <c r="AH331" s="324"/>
      <c r="AI331" s="325"/>
      <c r="AJ331" s="324"/>
      <c r="AK331" s="323"/>
      <c r="AL331" s="324"/>
      <c r="AM331" s="325"/>
      <c r="AN331" s="324"/>
    </row>
    <row r="332" spans="1:45">
      <c r="A332" s="176" t="s">
        <v>642</v>
      </c>
      <c r="B332" s="179" t="s">
        <v>589</v>
      </c>
      <c r="C332" s="180">
        <v>199139</v>
      </c>
      <c r="D332" s="181">
        <v>2</v>
      </c>
      <c r="E332" s="323">
        <v>4295</v>
      </c>
      <c r="F332" s="324">
        <v>4427</v>
      </c>
      <c r="G332" s="379">
        <v>14707</v>
      </c>
      <c r="H332" s="378">
        <v>15039</v>
      </c>
      <c r="I332" s="323">
        <v>4698</v>
      </c>
      <c r="J332" s="324">
        <f>2919+1911</f>
        <v>4830</v>
      </c>
      <c r="K332" s="325">
        <v>14905</v>
      </c>
      <c r="L332" s="324">
        <f>13326+1911</f>
        <v>15237</v>
      </c>
      <c r="M332" s="323"/>
      <c r="N332" s="324"/>
      <c r="O332" s="325"/>
      <c r="P332" s="324"/>
      <c r="Q332" s="323"/>
      <c r="R332" s="324"/>
      <c r="S332" s="325"/>
      <c r="T332" s="324"/>
      <c r="U332" s="323"/>
      <c r="V332" s="324"/>
      <c r="W332" s="325"/>
      <c r="X332" s="324"/>
      <c r="Y332" s="323"/>
      <c r="Z332" s="324"/>
      <c r="AA332" s="325"/>
      <c r="AB332" s="324"/>
      <c r="AC332" s="323"/>
      <c r="AD332" s="324"/>
      <c r="AE332" s="325"/>
      <c r="AF332" s="324"/>
      <c r="AG332" s="323"/>
      <c r="AH332" s="324"/>
      <c r="AI332" s="325"/>
      <c r="AJ332" s="324"/>
      <c r="AK332" s="323"/>
      <c r="AL332" s="324"/>
      <c r="AM332" s="325"/>
      <c r="AN332" s="324"/>
    </row>
    <row r="333" spans="1:45">
      <c r="A333" s="176" t="s">
        <v>642</v>
      </c>
      <c r="B333" s="179" t="s">
        <v>439</v>
      </c>
      <c r="C333" s="176">
        <v>199148</v>
      </c>
      <c r="D333" s="178">
        <v>2</v>
      </c>
      <c r="E333" s="323">
        <v>4135</v>
      </c>
      <c r="F333" s="324">
        <f>4234</f>
        <v>4234</v>
      </c>
      <c r="G333" s="379">
        <v>15629</v>
      </c>
      <c r="H333" s="378">
        <v>15995</v>
      </c>
      <c r="I333" s="323">
        <v>4527</v>
      </c>
      <c r="J333" s="324">
        <f>3044+1644</f>
        <v>4688</v>
      </c>
      <c r="K333" s="325">
        <v>15798</v>
      </c>
      <c r="L333" s="324">
        <f>14524+1644</f>
        <v>16168</v>
      </c>
      <c r="M333" s="323"/>
      <c r="N333" s="324"/>
      <c r="O333" s="325"/>
      <c r="P333" s="324"/>
      <c r="Q333" s="323"/>
      <c r="R333" s="324"/>
      <c r="S333" s="325"/>
      <c r="T333" s="324"/>
      <c r="U333" s="323"/>
      <c r="V333" s="324"/>
      <c r="W333" s="325"/>
      <c r="X333" s="324"/>
      <c r="Y333" s="323"/>
      <c r="Z333" s="324"/>
      <c r="AA333" s="325"/>
      <c r="AB333" s="324"/>
      <c r="AC333" s="323"/>
      <c r="AD333" s="324"/>
      <c r="AE333" s="325"/>
      <c r="AF333" s="324"/>
      <c r="AG333" s="323"/>
      <c r="AH333" s="324"/>
      <c r="AI333" s="325"/>
      <c r="AJ333" s="324"/>
      <c r="AK333" s="323"/>
      <c r="AL333" s="324"/>
      <c r="AM333" s="325"/>
      <c r="AN333" s="324"/>
    </row>
    <row r="334" spans="1:45">
      <c r="A334" s="176" t="s">
        <v>642</v>
      </c>
      <c r="B334" s="177" t="s">
        <v>554</v>
      </c>
      <c r="C334" s="176">
        <v>197869</v>
      </c>
      <c r="D334" s="178">
        <v>3</v>
      </c>
      <c r="E334" s="323">
        <v>4333</v>
      </c>
      <c r="F334" s="324">
        <v>4491</v>
      </c>
      <c r="G334" s="379">
        <v>14392</v>
      </c>
      <c r="H334" s="378">
        <v>15112</v>
      </c>
      <c r="I334" s="323">
        <v>4742</v>
      </c>
      <c r="J334" s="324">
        <v>4959</v>
      </c>
      <c r="K334" s="325">
        <v>14641</v>
      </c>
      <c r="L334" s="324">
        <v>15373</v>
      </c>
      <c r="M334" s="323"/>
      <c r="N334" s="324"/>
      <c r="O334" s="325"/>
      <c r="P334" s="324"/>
      <c r="Q334" s="323"/>
      <c r="R334" s="324"/>
      <c r="S334" s="325"/>
      <c r="T334" s="324"/>
      <c r="U334" s="323"/>
      <c r="V334" s="324"/>
      <c r="W334" s="325"/>
      <c r="X334" s="324"/>
      <c r="Y334" s="323"/>
      <c r="Z334" s="324"/>
      <c r="AA334" s="325"/>
      <c r="AB334" s="324"/>
      <c r="AC334" s="323"/>
      <c r="AD334" s="324"/>
      <c r="AE334" s="325"/>
      <c r="AF334" s="324"/>
      <c r="AG334" s="323"/>
      <c r="AH334" s="324"/>
      <c r="AI334" s="325"/>
      <c r="AJ334" s="324"/>
      <c r="AK334" s="323"/>
      <c r="AL334" s="324"/>
      <c r="AM334" s="325"/>
      <c r="AN334" s="324"/>
    </row>
    <row r="335" spans="1:45">
      <c r="A335" s="176" t="s">
        <v>642</v>
      </c>
      <c r="B335" s="179" t="s">
        <v>555</v>
      </c>
      <c r="C335" s="180">
        <v>198464</v>
      </c>
      <c r="D335" s="181">
        <v>3</v>
      </c>
      <c r="E335" s="323">
        <v>4186</v>
      </c>
      <c r="F335" s="324">
        <v>4477</v>
      </c>
      <c r="G335" s="379">
        <v>14700</v>
      </c>
      <c r="H335" s="378">
        <v>15311</v>
      </c>
      <c r="I335" s="323">
        <v>4667</v>
      </c>
      <c r="J335" s="324">
        <v>4981</v>
      </c>
      <c r="K335" s="325">
        <v>14983</v>
      </c>
      <c r="L335" s="324">
        <v>15297</v>
      </c>
      <c r="M335" s="323"/>
      <c r="N335" s="324"/>
      <c r="O335" s="325"/>
      <c r="P335" s="324"/>
      <c r="Q335" s="323">
        <v>9040</v>
      </c>
      <c r="R335" s="324">
        <v>10344</v>
      </c>
      <c r="S335" s="325">
        <v>34030</v>
      </c>
      <c r="T335" s="324" t="s">
        <v>1050</v>
      </c>
      <c r="U335" s="323"/>
      <c r="V335" s="324"/>
      <c r="W335" s="325"/>
      <c r="X335" s="324"/>
      <c r="Y335" s="323"/>
      <c r="Z335" s="324"/>
      <c r="AA335" s="325"/>
      <c r="AB335" s="324"/>
      <c r="AC335" s="323"/>
      <c r="AD335" s="324"/>
      <c r="AE335" s="325"/>
      <c r="AF335" s="324"/>
      <c r="AG335" s="323"/>
      <c r="AH335" s="324"/>
      <c r="AI335" s="325"/>
      <c r="AJ335" s="324"/>
      <c r="AK335" s="323"/>
      <c r="AL335" s="324"/>
      <c r="AM335" s="325"/>
      <c r="AN335" s="324"/>
    </row>
    <row r="336" spans="1:45">
      <c r="A336" s="176" t="s">
        <v>642</v>
      </c>
      <c r="B336" s="179" t="s">
        <v>21</v>
      </c>
      <c r="C336" s="176">
        <v>199102</v>
      </c>
      <c r="D336" s="178">
        <v>3</v>
      </c>
      <c r="E336" s="323">
        <v>3583</v>
      </c>
      <c r="F336" s="324">
        <v>3696</v>
      </c>
      <c r="G336" s="379">
        <v>13025</v>
      </c>
      <c r="H336" s="378">
        <v>13138</v>
      </c>
      <c r="I336" s="323">
        <v>3655</v>
      </c>
      <c r="J336" s="324">
        <f>2266+1702</f>
        <v>3968</v>
      </c>
      <c r="K336" s="325">
        <v>13240</v>
      </c>
      <c r="L336" s="324">
        <f>11851+1702</f>
        <v>13553</v>
      </c>
      <c r="M336" s="323"/>
      <c r="N336" s="324"/>
      <c r="O336" s="325"/>
      <c r="P336" s="324"/>
      <c r="Q336" s="323"/>
      <c r="R336" s="324"/>
      <c r="S336" s="325"/>
      <c r="T336" s="324"/>
      <c r="U336" s="323"/>
      <c r="V336" s="324"/>
      <c r="W336" s="325"/>
      <c r="X336" s="324"/>
      <c r="Y336" s="323"/>
      <c r="Z336" s="324"/>
      <c r="AA336" s="325"/>
      <c r="AB336" s="324"/>
      <c r="AC336" s="323"/>
      <c r="AD336" s="324"/>
      <c r="AE336" s="325"/>
      <c r="AF336" s="324"/>
      <c r="AG336" s="323"/>
      <c r="AH336" s="324"/>
      <c r="AI336" s="325"/>
      <c r="AJ336" s="324"/>
      <c r="AK336" s="323"/>
      <c r="AL336" s="324"/>
      <c r="AM336" s="325"/>
      <c r="AN336" s="324"/>
    </row>
    <row r="337" spans="1:40">
      <c r="A337" s="176" t="s">
        <v>642</v>
      </c>
      <c r="B337" s="177" t="s">
        <v>556</v>
      </c>
      <c r="C337" s="176">
        <v>199157</v>
      </c>
      <c r="D337" s="178">
        <v>3</v>
      </c>
      <c r="E337" s="323">
        <v>3729</v>
      </c>
      <c r="F337" s="324">
        <v>3922</v>
      </c>
      <c r="G337" s="379">
        <v>13473</v>
      </c>
      <c r="H337" s="378">
        <v>13991</v>
      </c>
      <c r="I337" s="323">
        <v>4243</v>
      </c>
      <c r="J337" s="324">
        <f>2936+1607</f>
        <v>4543</v>
      </c>
      <c r="K337" s="325">
        <v>14064</v>
      </c>
      <c r="L337" s="324">
        <f>13395+1607</f>
        <v>15002</v>
      </c>
      <c r="M337" s="323">
        <v>6281</v>
      </c>
      <c r="N337" s="324">
        <f>5916+1665</f>
        <v>7581</v>
      </c>
      <c r="O337" s="325">
        <v>18381</v>
      </c>
      <c r="P337" s="324">
        <f>18654+1665</f>
        <v>20319</v>
      </c>
      <c r="Q337" s="323"/>
      <c r="R337" s="324"/>
      <c r="S337" s="325"/>
      <c r="T337" s="324"/>
      <c r="U337" s="323"/>
      <c r="V337" s="324"/>
      <c r="W337" s="325"/>
      <c r="X337" s="324"/>
      <c r="Y337" s="323"/>
      <c r="Z337" s="324"/>
      <c r="AA337" s="325"/>
      <c r="AB337" s="324"/>
      <c r="AC337" s="323"/>
      <c r="AD337" s="324"/>
      <c r="AE337" s="325"/>
      <c r="AF337" s="324"/>
      <c r="AG337" s="323"/>
      <c r="AH337" s="324"/>
      <c r="AI337" s="325"/>
      <c r="AJ337" s="324"/>
      <c r="AK337" s="323"/>
      <c r="AL337" s="324"/>
      <c r="AM337" s="325"/>
      <c r="AN337" s="324"/>
    </row>
    <row r="338" spans="1:40">
      <c r="A338" s="176" t="s">
        <v>642</v>
      </c>
      <c r="B338" s="177" t="s">
        <v>590</v>
      </c>
      <c r="C338" s="176">
        <v>199218</v>
      </c>
      <c r="D338" s="178">
        <v>3</v>
      </c>
      <c r="E338" s="323">
        <v>4528</v>
      </c>
      <c r="F338" s="324">
        <v>4873</v>
      </c>
      <c r="G338" s="379">
        <v>14695</v>
      </c>
      <c r="H338" s="378">
        <v>15755</v>
      </c>
      <c r="I338" s="323">
        <v>4838</v>
      </c>
      <c r="J338" s="324">
        <f>2949+2308</f>
        <v>5257</v>
      </c>
      <c r="K338" s="325">
        <v>14898</v>
      </c>
      <c r="L338" s="324">
        <f>13663+2308</f>
        <v>15971</v>
      </c>
      <c r="M338" s="323"/>
      <c r="N338" s="324"/>
      <c r="O338" s="325"/>
      <c r="P338" s="324"/>
      <c r="Q338" s="323"/>
      <c r="R338" s="324"/>
      <c r="S338" s="325"/>
      <c r="T338" s="324"/>
      <c r="U338" s="323"/>
      <c r="V338" s="324"/>
      <c r="W338" s="325"/>
      <c r="X338" s="324"/>
      <c r="Y338" s="323"/>
      <c r="Z338" s="324"/>
      <c r="AA338" s="325"/>
      <c r="AB338" s="324"/>
      <c r="AC338" s="323"/>
      <c r="AD338" s="324"/>
      <c r="AE338" s="325"/>
      <c r="AF338" s="324"/>
      <c r="AG338" s="323"/>
      <c r="AH338" s="324"/>
      <c r="AI338" s="325"/>
      <c r="AJ338" s="324"/>
      <c r="AK338" s="323"/>
      <c r="AL338" s="324"/>
      <c r="AM338" s="325"/>
      <c r="AN338" s="324"/>
    </row>
    <row r="339" spans="1:40">
      <c r="A339" s="176" t="s">
        <v>642</v>
      </c>
      <c r="B339" s="177" t="s">
        <v>591</v>
      </c>
      <c r="C339" s="176">
        <v>200004</v>
      </c>
      <c r="D339" s="178">
        <v>3</v>
      </c>
      <c r="E339" s="323">
        <v>4196</v>
      </c>
      <c r="F339" s="324">
        <v>4330</v>
      </c>
      <c r="G339" s="379">
        <v>13779</v>
      </c>
      <c r="H339" s="378">
        <v>13927</v>
      </c>
      <c r="I339" s="323">
        <v>4490</v>
      </c>
      <c r="J339" s="324">
        <f>2414+2224</f>
        <v>4638</v>
      </c>
      <c r="K339" s="325">
        <v>14075</v>
      </c>
      <c r="L339" s="324">
        <f>11999+2224</f>
        <v>14223</v>
      </c>
      <c r="M339" s="323"/>
      <c r="N339" s="324"/>
      <c r="O339" s="325"/>
      <c r="P339" s="324"/>
      <c r="Q339" s="323"/>
      <c r="R339" s="324"/>
      <c r="S339" s="325"/>
      <c r="T339" s="324"/>
      <c r="U339" s="323"/>
      <c r="V339" s="324"/>
      <c r="W339" s="325"/>
      <c r="X339" s="324"/>
      <c r="Y339" s="323"/>
      <c r="Z339" s="324"/>
      <c r="AA339" s="325"/>
      <c r="AB339" s="324"/>
      <c r="AC339" s="323"/>
      <c r="AD339" s="324"/>
      <c r="AE339" s="325"/>
      <c r="AF339" s="324"/>
      <c r="AG339" s="323"/>
      <c r="AH339" s="324"/>
      <c r="AI339" s="325"/>
      <c r="AJ339" s="324"/>
      <c r="AK339" s="323"/>
      <c r="AL339" s="324"/>
      <c r="AM339" s="325"/>
      <c r="AN339" s="324"/>
    </row>
    <row r="340" spans="1:40">
      <c r="A340" s="176" t="s">
        <v>642</v>
      </c>
      <c r="B340" s="179" t="s">
        <v>592</v>
      </c>
      <c r="C340" s="176">
        <v>198543</v>
      </c>
      <c r="D340" s="178">
        <v>4</v>
      </c>
      <c r="E340" s="323">
        <v>3044</v>
      </c>
      <c r="F340" s="324">
        <v>3177</v>
      </c>
      <c r="G340" s="379">
        <v>13226</v>
      </c>
      <c r="H340" s="378">
        <v>13520</v>
      </c>
      <c r="I340" s="323">
        <v>3336</v>
      </c>
      <c r="J340" s="324">
        <v>3527</v>
      </c>
      <c r="K340" s="325">
        <v>12926</v>
      </c>
      <c r="L340" s="324">
        <v>13214</v>
      </c>
      <c r="M340" s="323"/>
      <c r="N340" s="324"/>
      <c r="O340" s="325"/>
      <c r="P340" s="324"/>
      <c r="Q340" s="323"/>
      <c r="R340" s="324"/>
      <c r="S340" s="325"/>
      <c r="T340" s="324"/>
      <c r="U340" s="323"/>
      <c r="V340" s="324"/>
      <c r="W340" s="325"/>
      <c r="X340" s="324"/>
      <c r="Y340" s="323"/>
      <c r="Z340" s="324"/>
      <c r="AA340" s="325"/>
      <c r="AB340" s="324"/>
      <c r="AC340" s="323"/>
      <c r="AD340" s="324"/>
      <c r="AE340" s="325"/>
      <c r="AF340" s="324"/>
      <c r="AG340" s="323"/>
      <c r="AH340" s="324"/>
      <c r="AI340" s="325"/>
      <c r="AJ340" s="324"/>
      <c r="AK340" s="323"/>
      <c r="AL340" s="324"/>
      <c r="AM340" s="325"/>
      <c r="AN340" s="324"/>
    </row>
    <row r="341" spans="1:40">
      <c r="A341" s="176" t="s">
        <v>642</v>
      </c>
      <c r="B341" s="177" t="s">
        <v>593</v>
      </c>
      <c r="C341" s="176">
        <v>199281</v>
      </c>
      <c r="D341" s="178">
        <v>5</v>
      </c>
      <c r="E341" s="323">
        <v>3608</v>
      </c>
      <c r="F341" s="324">
        <v>3736</v>
      </c>
      <c r="G341" s="379">
        <v>12868</v>
      </c>
      <c r="H341" s="378">
        <v>12943</v>
      </c>
      <c r="I341" s="323">
        <v>3280</v>
      </c>
      <c r="J341" s="324">
        <f>2159+1257</f>
        <v>3416</v>
      </c>
      <c r="K341" s="325">
        <v>12687</v>
      </c>
      <c r="L341" s="324">
        <f>11486+1257</f>
        <v>12743</v>
      </c>
      <c r="M341" s="323"/>
      <c r="N341" s="324"/>
      <c r="O341" s="325"/>
      <c r="P341" s="324"/>
      <c r="Q341" s="323"/>
      <c r="R341" s="324"/>
      <c r="S341" s="325"/>
      <c r="T341" s="324"/>
      <c r="U341" s="323"/>
      <c r="V341" s="324"/>
      <c r="W341" s="325"/>
      <c r="X341" s="324"/>
      <c r="Y341" s="323"/>
      <c r="Z341" s="324"/>
      <c r="AA341" s="325"/>
      <c r="AB341" s="324"/>
      <c r="AC341" s="323"/>
      <c r="AD341" s="324"/>
      <c r="AE341" s="325"/>
      <c r="AF341" s="324"/>
      <c r="AG341" s="323"/>
      <c r="AH341" s="324"/>
      <c r="AI341" s="325"/>
      <c r="AJ341" s="324"/>
      <c r="AK341" s="323"/>
      <c r="AL341" s="324"/>
      <c r="AM341" s="325"/>
      <c r="AN341" s="324"/>
    </row>
    <row r="342" spans="1:40">
      <c r="A342" s="176" t="s">
        <v>642</v>
      </c>
      <c r="B342" s="179" t="s">
        <v>596</v>
      </c>
      <c r="C342" s="180">
        <v>199999</v>
      </c>
      <c r="D342" s="181">
        <v>5</v>
      </c>
      <c r="E342" s="323">
        <v>3389</v>
      </c>
      <c r="F342" s="324">
        <v>3522</v>
      </c>
      <c r="G342" s="379">
        <v>12029</v>
      </c>
      <c r="H342" s="378">
        <v>12508</v>
      </c>
      <c r="I342" s="323">
        <v>3830</v>
      </c>
      <c r="J342" s="324">
        <f>2228+1753</f>
        <v>3981</v>
      </c>
      <c r="K342" s="325">
        <v>12663</v>
      </c>
      <c r="L342" s="324">
        <f>11414+1753</f>
        <v>13167</v>
      </c>
      <c r="M342" s="323"/>
      <c r="N342" s="324"/>
      <c r="O342" s="325"/>
      <c r="P342" s="324"/>
      <c r="Q342" s="323"/>
      <c r="R342" s="324"/>
      <c r="S342" s="325"/>
      <c r="T342" s="324"/>
      <c r="U342" s="323"/>
      <c r="V342" s="324"/>
      <c r="W342" s="325"/>
      <c r="X342" s="324"/>
      <c r="Y342" s="323"/>
      <c r="Z342" s="324"/>
      <c r="AA342" s="325"/>
      <c r="AB342" s="324"/>
      <c r="AC342" s="323"/>
      <c r="AD342" s="324"/>
      <c r="AE342" s="325"/>
      <c r="AF342" s="324"/>
      <c r="AG342" s="323"/>
      <c r="AH342" s="324"/>
      <c r="AI342" s="325"/>
      <c r="AJ342" s="324"/>
      <c r="AK342" s="323"/>
      <c r="AL342" s="324"/>
      <c r="AM342" s="325"/>
      <c r="AN342" s="324"/>
    </row>
    <row r="343" spans="1:40">
      <c r="A343" s="176" t="s">
        <v>642</v>
      </c>
      <c r="B343" s="177" t="s">
        <v>594</v>
      </c>
      <c r="C343" s="176">
        <v>198507</v>
      </c>
      <c r="D343" s="178">
        <v>6</v>
      </c>
      <c r="E343" s="323">
        <v>2922</v>
      </c>
      <c r="F343" s="324">
        <v>3032</v>
      </c>
      <c r="G343" s="379">
        <v>11936</v>
      </c>
      <c r="H343" s="378">
        <v>12081</v>
      </c>
      <c r="I343" s="323">
        <v>2986</v>
      </c>
      <c r="J343" s="324">
        <v>3136</v>
      </c>
      <c r="K343" s="325">
        <v>12166</v>
      </c>
      <c r="L343" s="324">
        <v>12316</v>
      </c>
      <c r="M343" s="323"/>
      <c r="N343" s="324"/>
      <c r="O343" s="325"/>
      <c r="P343" s="324"/>
      <c r="Q343" s="323"/>
      <c r="R343" s="324"/>
      <c r="S343" s="325"/>
      <c r="T343" s="324"/>
      <c r="U343" s="323"/>
      <c r="V343" s="324"/>
      <c r="W343" s="325"/>
      <c r="X343" s="324"/>
      <c r="Y343" s="323"/>
      <c r="Z343" s="324"/>
      <c r="AA343" s="325"/>
      <c r="AB343" s="324"/>
      <c r="AC343" s="323"/>
      <c r="AD343" s="324"/>
      <c r="AE343" s="325"/>
      <c r="AF343" s="324"/>
      <c r="AG343" s="323"/>
      <c r="AH343" s="324"/>
      <c r="AI343" s="325"/>
      <c r="AJ343" s="324"/>
      <c r="AK343" s="323"/>
      <c r="AL343" s="324"/>
      <c r="AM343" s="325"/>
      <c r="AN343" s="324"/>
    </row>
    <row r="344" spans="1:40">
      <c r="A344" s="176" t="s">
        <v>642</v>
      </c>
      <c r="B344" s="177" t="s">
        <v>595</v>
      </c>
      <c r="C344" s="176">
        <v>199111</v>
      </c>
      <c r="D344" s="178">
        <v>6</v>
      </c>
      <c r="E344" s="323">
        <v>4174</v>
      </c>
      <c r="F344" s="324">
        <v>4330</v>
      </c>
      <c r="G344" s="379">
        <v>15504</v>
      </c>
      <c r="H344" s="378">
        <v>16047</v>
      </c>
      <c r="I344" s="323">
        <v>4578</v>
      </c>
      <c r="J344" s="324">
        <f>2831+1941</f>
        <v>4772</v>
      </c>
      <c r="K344" s="325">
        <v>15784</v>
      </c>
      <c r="L344" s="324">
        <f>14395+1941</f>
        <v>16336</v>
      </c>
      <c r="M344" s="323"/>
      <c r="N344" s="324"/>
      <c r="O344" s="325"/>
      <c r="P344" s="324"/>
      <c r="Q344" s="323"/>
      <c r="R344" s="324"/>
      <c r="S344" s="325"/>
      <c r="T344" s="324"/>
      <c r="U344" s="323"/>
      <c r="V344" s="324"/>
      <c r="W344" s="325"/>
      <c r="X344" s="324"/>
      <c r="Y344" s="323"/>
      <c r="Z344" s="324"/>
      <c r="AA344" s="325"/>
      <c r="AB344" s="324"/>
      <c r="AC344" s="323"/>
      <c r="AD344" s="324"/>
      <c r="AE344" s="325"/>
      <c r="AF344" s="324"/>
      <c r="AG344" s="323"/>
      <c r="AH344" s="324"/>
      <c r="AI344" s="325"/>
      <c r="AJ344" s="324"/>
      <c r="AK344" s="323"/>
      <c r="AL344" s="324"/>
      <c r="AM344" s="325"/>
      <c r="AN344" s="324"/>
    </row>
    <row r="345" spans="1:40">
      <c r="A345" s="176" t="s">
        <v>642</v>
      </c>
      <c r="B345" s="177" t="s">
        <v>597</v>
      </c>
      <c r="C345" s="176">
        <v>199184</v>
      </c>
      <c r="D345" s="178">
        <v>15</v>
      </c>
      <c r="E345" s="323">
        <v>5166</v>
      </c>
      <c r="F345" s="324">
        <v>5449</v>
      </c>
      <c r="G345" s="325">
        <v>17046</v>
      </c>
      <c r="H345" s="324">
        <v>17395</v>
      </c>
      <c r="I345" s="323">
        <v>5739</v>
      </c>
      <c r="J345" s="324">
        <v>6088</v>
      </c>
      <c r="K345" s="325">
        <v>17612</v>
      </c>
      <c r="L345" s="324">
        <v>17961</v>
      </c>
      <c r="M345" s="323"/>
      <c r="N345" s="324"/>
      <c r="O345" s="325"/>
      <c r="P345" s="324"/>
      <c r="Q345" s="323"/>
      <c r="R345" s="324"/>
      <c r="S345" s="325"/>
      <c r="T345" s="324"/>
      <c r="U345" s="323"/>
      <c r="V345" s="324"/>
      <c r="W345" s="325"/>
      <c r="X345" s="324"/>
      <c r="Y345" s="323"/>
      <c r="Z345" s="324"/>
      <c r="AA345" s="325"/>
      <c r="AB345" s="324"/>
      <c r="AC345" s="323"/>
      <c r="AD345" s="324"/>
      <c r="AE345" s="325"/>
      <c r="AF345" s="324"/>
      <c r="AG345" s="323"/>
      <c r="AH345" s="324"/>
      <c r="AI345" s="325"/>
      <c r="AJ345" s="324"/>
      <c r="AK345" s="323"/>
      <c r="AL345" s="324"/>
      <c r="AM345" s="325"/>
      <c r="AN345" s="324"/>
    </row>
    <row r="346" spans="1:40">
      <c r="A346" s="169" t="s">
        <v>642</v>
      </c>
      <c r="B346" s="170" t="s">
        <v>598</v>
      </c>
      <c r="C346" s="169">
        <v>197887</v>
      </c>
      <c r="D346" s="171">
        <v>8</v>
      </c>
      <c r="E346" s="323">
        <v>1399</v>
      </c>
      <c r="F346" s="360">
        <v>1655</v>
      </c>
      <c r="G346" s="226">
        <v>7520.4</v>
      </c>
      <c r="H346" s="360">
        <v>7776.6</v>
      </c>
      <c r="I346" s="323"/>
      <c r="J346" s="324"/>
      <c r="K346" s="325"/>
      <c r="L346" s="324"/>
      <c r="M346" s="323"/>
      <c r="N346" s="324"/>
      <c r="O346" s="325"/>
      <c r="P346" s="324"/>
      <c r="Q346" s="323"/>
      <c r="R346" s="324"/>
      <c r="S346" s="325"/>
      <c r="T346" s="324"/>
      <c r="U346" s="323"/>
      <c r="V346" s="324"/>
      <c r="W346" s="325"/>
      <c r="X346" s="324"/>
      <c r="Y346" s="323"/>
      <c r="Z346" s="324"/>
      <c r="AA346" s="325"/>
      <c r="AB346" s="324"/>
      <c r="AC346" s="323"/>
      <c r="AD346" s="324"/>
      <c r="AE346" s="325"/>
      <c r="AF346" s="324"/>
      <c r="AG346" s="323"/>
      <c r="AH346" s="324"/>
      <c r="AI346" s="325"/>
      <c r="AJ346" s="324"/>
      <c r="AK346" s="323"/>
      <c r="AL346" s="324"/>
      <c r="AM346" s="325"/>
      <c r="AN346" s="324"/>
    </row>
    <row r="347" spans="1:40">
      <c r="A347" s="169" t="s">
        <v>642</v>
      </c>
      <c r="B347" s="170" t="s">
        <v>599</v>
      </c>
      <c r="C347" s="169">
        <v>198154</v>
      </c>
      <c r="D347" s="171">
        <v>8</v>
      </c>
      <c r="E347" s="323">
        <v>1481</v>
      </c>
      <c r="F347" s="360">
        <v>1737</v>
      </c>
      <c r="G347" s="226">
        <v>7603</v>
      </c>
      <c r="H347" s="360">
        <v>7858.6</v>
      </c>
      <c r="I347" s="323"/>
      <c r="J347" s="324"/>
      <c r="K347" s="325"/>
      <c r="L347" s="324"/>
      <c r="M347" s="323"/>
      <c r="N347" s="324"/>
      <c r="O347" s="325"/>
      <c r="P347" s="324"/>
      <c r="Q347" s="323"/>
      <c r="R347" s="324"/>
      <c r="S347" s="325"/>
      <c r="T347" s="324"/>
      <c r="U347" s="323"/>
      <c r="V347" s="324"/>
      <c r="W347" s="325"/>
      <c r="X347" s="324"/>
      <c r="Y347" s="323"/>
      <c r="Z347" s="324"/>
      <c r="AA347" s="325"/>
      <c r="AB347" s="324"/>
      <c r="AC347" s="323"/>
      <c r="AD347" s="324"/>
      <c r="AE347" s="325"/>
      <c r="AF347" s="324"/>
      <c r="AG347" s="323"/>
      <c r="AH347" s="324"/>
      <c r="AI347" s="325"/>
      <c r="AJ347" s="324"/>
      <c r="AK347" s="323"/>
      <c r="AL347" s="324"/>
      <c r="AM347" s="325"/>
      <c r="AN347" s="324"/>
    </row>
    <row r="348" spans="1:40">
      <c r="A348" s="169" t="s">
        <v>642</v>
      </c>
      <c r="B348" s="172" t="s">
        <v>600</v>
      </c>
      <c r="C348" s="169">
        <v>198233</v>
      </c>
      <c r="D348" s="171">
        <v>8</v>
      </c>
      <c r="E348" s="323">
        <v>1387</v>
      </c>
      <c r="F348" s="360">
        <v>1669</v>
      </c>
      <c r="G348" s="226">
        <v>7509</v>
      </c>
      <c r="H348" s="360">
        <v>7790.6</v>
      </c>
      <c r="I348" s="323"/>
      <c r="J348" s="324"/>
      <c r="K348" s="325"/>
      <c r="L348" s="324"/>
      <c r="M348" s="323"/>
      <c r="N348" s="324"/>
      <c r="O348" s="325"/>
      <c r="P348" s="324"/>
      <c r="Q348" s="323"/>
      <c r="R348" s="324"/>
      <c r="S348" s="325"/>
      <c r="T348" s="324"/>
      <c r="U348" s="323"/>
      <c r="V348" s="324"/>
      <c r="W348" s="325"/>
      <c r="X348" s="324"/>
      <c r="Y348" s="323"/>
      <c r="Z348" s="324"/>
      <c r="AA348" s="325"/>
      <c r="AB348" s="324"/>
      <c r="AC348" s="323"/>
      <c r="AD348" s="324"/>
      <c r="AE348" s="325"/>
      <c r="AF348" s="324"/>
      <c r="AG348" s="323"/>
      <c r="AH348" s="324"/>
      <c r="AI348" s="325"/>
      <c r="AJ348" s="324"/>
      <c r="AK348" s="323"/>
      <c r="AL348" s="324"/>
      <c r="AM348" s="325"/>
      <c r="AN348" s="324"/>
    </row>
    <row r="349" spans="1:40">
      <c r="A349" s="169" t="s">
        <v>642</v>
      </c>
      <c r="B349" s="170" t="s">
        <v>601</v>
      </c>
      <c r="C349" s="169">
        <v>198251</v>
      </c>
      <c r="D349" s="171">
        <v>8</v>
      </c>
      <c r="E349" s="323">
        <v>1432</v>
      </c>
      <c r="F349" s="360">
        <v>1688</v>
      </c>
      <c r="G349" s="226">
        <v>7554</v>
      </c>
      <c r="H349" s="360">
        <v>7809.6</v>
      </c>
      <c r="I349" s="323"/>
      <c r="J349" s="324"/>
      <c r="K349" s="325"/>
      <c r="L349" s="324"/>
      <c r="M349" s="323"/>
      <c r="N349" s="324"/>
      <c r="O349" s="325"/>
      <c r="P349" s="324"/>
      <c r="Q349" s="323"/>
      <c r="R349" s="324"/>
      <c r="S349" s="325"/>
      <c r="T349" s="324"/>
      <c r="U349" s="323"/>
      <c r="V349" s="324"/>
      <c r="W349" s="325"/>
      <c r="X349" s="324"/>
      <c r="Y349" s="323"/>
      <c r="Z349" s="324"/>
      <c r="AA349" s="325"/>
      <c r="AB349" s="324"/>
      <c r="AC349" s="323"/>
      <c r="AD349" s="324"/>
      <c r="AE349" s="325"/>
      <c r="AF349" s="324"/>
      <c r="AG349" s="323"/>
      <c r="AH349" s="324"/>
      <c r="AI349" s="325"/>
      <c r="AJ349" s="324"/>
      <c r="AK349" s="323"/>
      <c r="AL349" s="324"/>
      <c r="AM349" s="325"/>
      <c r="AN349" s="324"/>
    </row>
    <row r="350" spans="1:40">
      <c r="A350" s="169" t="s">
        <v>642</v>
      </c>
      <c r="B350" s="170" t="s">
        <v>602</v>
      </c>
      <c r="C350" s="169">
        <v>198260</v>
      </c>
      <c r="D350" s="171">
        <v>8</v>
      </c>
      <c r="E350" s="323">
        <v>1452</v>
      </c>
      <c r="F350" s="360">
        <v>1798</v>
      </c>
      <c r="G350" s="226">
        <v>7576</v>
      </c>
      <c r="H350" s="360">
        <v>7919.6</v>
      </c>
      <c r="I350" s="323"/>
      <c r="J350" s="324"/>
      <c r="K350" s="325"/>
      <c r="L350" s="324"/>
      <c r="M350" s="323"/>
      <c r="N350" s="324"/>
      <c r="O350" s="325"/>
      <c r="P350" s="324"/>
      <c r="Q350" s="323"/>
      <c r="R350" s="324"/>
      <c r="S350" s="325"/>
      <c r="T350" s="324"/>
      <c r="U350" s="323"/>
      <c r="V350" s="324"/>
      <c r="W350" s="325"/>
      <c r="X350" s="324"/>
      <c r="Y350" s="323"/>
      <c r="Z350" s="324"/>
      <c r="AA350" s="325"/>
      <c r="AB350" s="324"/>
      <c r="AC350" s="323"/>
      <c r="AD350" s="324"/>
      <c r="AE350" s="325"/>
      <c r="AF350" s="324"/>
      <c r="AG350" s="323"/>
      <c r="AH350" s="324"/>
      <c r="AI350" s="325"/>
      <c r="AJ350" s="324"/>
      <c r="AK350" s="323"/>
      <c r="AL350" s="324"/>
      <c r="AM350" s="325"/>
      <c r="AN350" s="324"/>
    </row>
    <row r="351" spans="1:40">
      <c r="A351" s="169" t="s">
        <v>642</v>
      </c>
      <c r="B351" s="361" t="s">
        <v>616</v>
      </c>
      <c r="C351" s="173">
        <v>198455</v>
      </c>
      <c r="D351" s="174">
        <v>8</v>
      </c>
      <c r="E351" s="323">
        <v>1494</v>
      </c>
      <c r="F351" s="360">
        <v>1680</v>
      </c>
      <c r="G351" s="226">
        <v>7625</v>
      </c>
      <c r="H351" s="360">
        <v>7801.6</v>
      </c>
      <c r="I351" s="323"/>
      <c r="J351" s="324"/>
      <c r="K351" s="325"/>
      <c r="L351" s="324"/>
      <c r="M351" s="323"/>
      <c r="N351" s="324"/>
      <c r="O351" s="325"/>
      <c r="P351" s="324"/>
      <c r="Q351" s="323"/>
      <c r="R351" s="324"/>
      <c r="S351" s="325"/>
      <c r="T351" s="324"/>
      <c r="U351" s="323"/>
      <c r="V351" s="324"/>
      <c r="W351" s="325"/>
      <c r="X351" s="324"/>
      <c r="Y351" s="323"/>
      <c r="Z351" s="324"/>
      <c r="AA351" s="325"/>
      <c r="AB351" s="324"/>
      <c r="AC351" s="323"/>
      <c r="AD351" s="324"/>
      <c r="AE351" s="325"/>
      <c r="AF351" s="324"/>
      <c r="AG351" s="323"/>
      <c r="AH351" s="324"/>
      <c r="AI351" s="325"/>
      <c r="AJ351" s="324"/>
      <c r="AK351" s="323"/>
      <c r="AL351" s="324"/>
      <c r="AM351" s="325"/>
      <c r="AN351" s="324"/>
    </row>
    <row r="352" spans="1:40">
      <c r="A352" s="169" t="s">
        <v>642</v>
      </c>
      <c r="B352" s="170" t="s">
        <v>603</v>
      </c>
      <c r="C352" s="169">
        <v>198534</v>
      </c>
      <c r="D352" s="171">
        <v>8</v>
      </c>
      <c r="E352" s="323">
        <v>1464</v>
      </c>
      <c r="F352" s="360">
        <v>1660</v>
      </c>
      <c r="G352" s="226">
        <v>7586</v>
      </c>
      <c r="H352" s="360">
        <v>7781.6</v>
      </c>
      <c r="I352" s="323"/>
      <c r="J352" s="324"/>
      <c r="K352" s="325"/>
      <c r="L352" s="324"/>
      <c r="M352" s="323"/>
      <c r="N352" s="324"/>
      <c r="O352" s="325"/>
      <c r="P352" s="324"/>
      <c r="Q352" s="323"/>
      <c r="R352" s="324"/>
      <c r="S352" s="325"/>
      <c r="T352" s="324"/>
      <c r="U352" s="323"/>
      <c r="V352" s="324"/>
      <c r="W352" s="325"/>
      <c r="X352" s="324"/>
      <c r="Y352" s="323"/>
      <c r="Z352" s="324"/>
      <c r="AA352" s="325"/>
      <c r="AB352" s="324"/>
      <c r="AC352" s="323"/>
      <c r="AD352" s="324"/>
      <c r="AE352" s="325"/>
      <c r="AF352" s="324"/>
      <c r="AG352" s="323"/>
      <c r="AH352" s="324"/>
      <c r="AI352" s="325"/>
      <c r="AJ352" s="324"/>
      <c r="AK352" s="323"/>
      <c r="AL352" s="324"/>
      <c r="AM352" s="325"/>
      <c r="AN352" s="324"/>
    </row>
    <row r="353" spans="1:45">
      <c r="A353" s="169" t="s">
        <v>642</v>
      </c>
      <c r="B353" s="170" t="s">
        <v>604</v>
      </c>
      <c r="C353" s="169">
        <v>198552</v>
      </c>
      <c r="D353" s="171">
        <v>8</v>
      </c>
      <c r="E353" s="323">
        <v>1414</v>
      </c>
      <c r="F353" s="360">
        <v>1662</v>
      </c>
      <c r="G353" s="226">
        <v>7536</v>
      </c>
      <c r="H353" s="360">
        <v>7783.6</v>
      </c>
      <c r="I353" s="323"/>
      <c r="J353" s="324"/>
      <c r="K353" s="325"/>
      <c r="L353" s="324"/>
      <c r="M353" s="323"/>
      <c r="N353" s="324"/>
      <c r="O353" s="325"/>
      <c r="P353" s="324"/>
      <c r="Q353" s="323"/>
      <c r="R353" s="324"/>
      <c r="S353" s="325"/>
      <c r="T353" s="324"/>
      <c r="U353" s="323"/>
      <c r="V353" s="324"/>
      <c r="W353" s="325"/>
      <c r="X353" s="324"/>
      <c r="Y353" s="323"/>
      <c r="Z353" s="324"/>
      <c r="AA353" s="325"/>
      <c r="AB353" s="324"/>
      <c r="AC353" s="323"/>
      <c r="AD353" s="324"/>
      <c r="AE353" s="325"/>
      <c r="AF353" s="324"/>
      <c r="AG353" s="323"/>
      <c r="AH353" s="324"/>
      <c r="AI353" s="325"/>
      <c r="AJ353" s="324"/>
      <c r="AK353" s="323"/>
      <c r="AL353" s="324"/>
      <c r="AM353" s="325"/>
      <c r="AN353" s="324"/>
    </row>
    <row r="354" spans="1:45">
      <c r="A354" s="169" t="s">
        <v>642</v>
      </c>
      <c r="B354" s="170" t="s">
        <v>605</v>
      </c>
      <c r="C354" s="169">
        <v>198622</v>
      </c>
      <c r="D354" s="171">
        <v>8</v>
      </c>
      <c r="E354" s="323">
        <v>1506</v>
      </c>
      <c r="F354" s="360">
        <v>1773</v>
      </c>
      <c r="G354" s="226">
        <v>7628</v>
      </c>
      <c r="H354" s="360">
        <v>7894.6</v>
      </c>
      <c r="I354" s="323"/>
      <c r="J354" s="324"/>
      <c r="K354" s="325"/>
      <c r="L354" s="324"/>
      <c r="M354" s="323"/>
      <c r="N354" s="324"/>
      <c r="O354" s="325"/>
      <c r="P354" s="324"/>
      <c r="Q354" s="323"/>
      <c r="R354" s="324"/>
      <c r="S354" s="325"/>
      <c r="T354" s="324"/>
      <c r="U354" s="323"/>
      <c r="V354" s="324"/>
      <c r="W354" s="325"/>
      <c r="X354" s="324"/>
      <c r="Y354" s="323"/>
      <c r="Z354" s="324"/>
      <c r="AA354" s="325"/>
      <c r="AB354" s="324"/>
      <c r="AC354" s="323"/>
      <c r="AD354" s="324"/>
      <c r="AE354" s="325"/>
      <c r="AF354" s="324"/>
      <c r="AG354" s="323"/>
      <c r="AH354" s="324"/>
      <c r="AI354" s="325"/>
      <c r="AJ354" s="324"/>
      <c r="AK354" s="323"/>
      <c r="AL354" s="324"/>
      <c r="AM354" s="325"/>
      <c r="AN354" s="324"/>
    </row>
    <row r="355" spans="1:45">
      <c r="A355" s="169" t="s">
        <v>642</v>
      </c>
      <c r="B355" s="170" t="s">
        <v>606</v>
      </c>
      <c r="C355" s="169">
        <v>199333</v>
      </c>
      <c r="D355" s="171">
        <v>8</v>
      </c>
      <c r="E355" s="323">
        <v>1430</v>
      </c>
      <c r="F355" s="360">
        <v>1686</v>
      </c>
      <c r="G355" s="226">
        <v>7552</v>
      </c>
      <c r="H355" s="360">
        <v>7807.6</v>
      </c>
      <c r="I355" s="323"/>
      <c r="J355" s="324"/>
      <c r="K355" s="325"/>
      <c r="L355" s="324"/>
      <c r="M355" s="323"/>
      <c r="N355" s="324"/>
      <c r="O355" s="325"/>
      <c r="P355" s="324"/>
      <c r="Q355" s="323"/>
      <c r="R355" s="324"/>
      <c r="S355" s="325"/>
      <c r="T355" s="324"/>
      <c r="U355" s="323"/>
      <c r="V355" s="324"/>
      <c r="W355" s="325"/>
      <c r="X355" s="324"/>
      <c r="Y355" s="323"/>
      <c r="Z355" s="324"/>
      <c r="AA355" s="325"/>
      <c r="AB355" s="324"/>
      <c r="AC355" s="323"/>
      <c r="AD355" s="324"/>
      <c r="AE355" s="325"/>
      <c r="AF355" s="324"/>
      <c r="AG355" s="323"/>
      <c r="AH355" s="324"/>
      <c r="AI355" s="325"/>
      <c r="AJ355" s="324"/>
      <c r="AK355" s="323"/>
      <c r="AL355" s="324"/>
      <c r="AM355" s="325"/>
      <c r="AN355" s="324"/>
    </row>
    <row r="356" spans="1:45">
      <c r="A356" s="169" t="s">
        <v>642</v>
      </c>
      <c r="B356" s="175" t="s">
        <v>630</v>
      </c>
      <c r="C356" s="173">
        <v>199494</v>
      </c>
      <c r="D356" s="174">
        <v>8</v>
      </c>
      <c r="E356" s="323">
        <v>1408</v>
      </c>
      <c r="F356" s="360">
        <v>1702</v>
      </c>
      <c r="G356" s="226">
        <v>7530</v>
      </c>
      <c r="H356" s="360">
        <v>7823.6</v>
      </c>
      <c r="I356" s="323"/>
      <c r="J356" s="324"/>
      <c r="K356" s="325"/>
      <c r="L356" s="324"/>
      <c r="M356" s="323"/>
      <c r="N356" s="324"/>
      <c r="O356" s="325"/>
      <c r="P356" s="324"/>
      <c r="Q356" s="323"/>
      <c r="R356" s="324"/>
      <c r="S356" s="325"/>
      <c r="T356" s="324"/>
      <c r="U356" s="323"/>
      <c r="V356" s="324"/>
      <c r="W356" s="325"/>
      <c r="X356" s="324"/>
      <c r="Y356" s="323"/>
      <c r="Z356" s="324"/>
      <c r="AA356" s="325"/>
      <c r="AB356" s="324"/>
      <c r="AC356" s="323"/>
      <c r="AD356" s="324"/>
      <c r="AE356" s="325"/>
      <c r="AF356" s="324"/>
      <c r="AG356" s="323"/>
      <c r="AH356" s="324"/>
      <c r="AI356" s="325"/>
      <c r="AJ356" s="324"/>
      <c r="AK356" s="323"/>
      <c r="AL356" s="324"/>
      <c r="AM356" s="325"/>
      <c r="AN356" s="324"/>
    </row>
    <row r="357" spans="1:45">
      <c r="A357" s="169" t="s">
        <v>642</v>
      </c>
      <c r="B357" s="170" t="s">
        <v>607</v>
      </c>
      <c r="C357" s="169">
        <v>199856</v>
      </c>
      <c r="D357" s="171">
        <v>8</v>
      </c>
      <c r="E357" s="323">
        <v>1426</v>
      </c>
      <c r="F357" s="360">
        <v>1682</v>
      </c>
      <c r="G357" s="226">
        <v>7548</v>
      </c>
      <c r="H357" s="360">
        <v>7803.6</v>
      </c>
      <c r="I357" s="323"/>
      <c r="J357" s="324"/>
      <c r="K357" s="325"/>
      <c r="L357" s="324"/>
      <c r="M357" s="323"/>
      <c r="N357" s="324"/>
      <c r="O357" s="325"/>
      <c r="P357" s="324"/>
      <c r="Q357" s="323"/>
      <c r="R357" s="324"/>
      <c r="S357" s="325"/>
      <c r="T357" s="324"/>
      <c r="U357" s="323"/>
      <c r="V357" s="324"/>
      <c r="W357" s="325"/>
      <c r="X357" s="324"/>
      <c r="Y357" s="323"/>
      <c r="Z357" s="324"/>
      <c r="AA357" s="325"/>
      <c r="AB357" s="324"/>
      <c r="AC357" s="323"/>
      <c r="AD357" s="324"/>
      <c r="AE357" s="325"/>
      <c r="AF357" s="324"/>
      <c r="AG357" s="323"/>
      <c r="AH357" s="324"/>
      <c r="AI357" s="325"/>
      <c r="AJ357" s="324"/>
      <c r="AK357" s="323"/>
      <c r="AL357" s="324"/>
      <c r="AM357" s="325"/>
      <c r="AN357" s="324"/>
    </row>
    <row r="358" spans="1:45">
      <c r="A358" s="169" t="s">
        <v>642</v>
      </c>
      <c r="B358" s="172" t="s">
        <v>608</v>
      </c>
      <c r="C358" s="169">
        <v>199786</v>
      </c>
      <c r="D358" s="171">
        <v>9</v>
      </c>
      <c r="E358" s="323">
        <v>1374</v>
      </c>
      <c r="F358" s="360">
        <v>1630</v>
      </c>
      <c r="G358" s="226">
        <v>7496</v>
      </c>
      <c r="H358" s="360">
        <v>7751.6</v>
      </c>
      <c r="I358" s="323"/>
      <c r="J358" s="324"/>
      <c r="K358" s="325"/>
      <c r="L358" s="324"/>
      <c r="M358" s="323"/>
      <c r="N358" s="324"/>
      <c r="O358" s="325"/>
      <c r="P358" s="324"/>
      <c r="Q358" s="323"/>
      <c r="R358" s="324"/>
      <c r="S358" s="325"/>
      <c r="T358" s="324"/>
      <c r="U358" s="323"/>
      <c r="V358" s="324"/>
      <c r="W358" s="325"/>
      <c r="X358" s="324"/>
      <c r="Y358" s="323"/>
      <c r="Z358" s="324"/>
      <c r="AA358" s="325"/>
      <c r="AB358" s="324"/>
      <c r="AC358" s="323"/>
      <c r="AD358" s="324"/>
      <c r="AE358" s="325"/>
      <c r="AF358" s="324"/>
      <c r="AG358" s="323"/>
      <c r="AH358" s="324"/>
      <c r="AI358" s="325"/>
      <c r="AJ358" s="324"/>
      <c r="AK358" s="323"/>
      <c r="AL358" s="324"/>
      <c r="AM358" s="325"/>
      <c r="AN358" s="324"/>
      <c r="AO358" s="453"/>
      <c r="AP358" s="453"/>
      <c r="AQ358" s="453"/>
      <c r="AR358" s="453"/>
      <c r="AS358" s="453"/>
    </row>
    <row r="359" spans="1:45">
      <c r="A359" s="169" t="s">
        <v>642</v>
      </c>
      <c r="B359" s="170" t="s">
        <v>610</v>
      </c>
      <c r="C359" s="169">
        <v>198039</v>
      </c>
      <c r="D359" s="171">
        <v>9</v>
      </c>
      <c r="E359" s="323">
        <v>1431</v>
      </c>
      <c r="F359" s="360">
        <v>1695</v>
      </c>
      <c r="G359" s="226">
        <v>7552</v>
      </c>
      <c r="H359" s="360">
        <v>7816.6</v>
      </c>
      <c r="I359" s="323"/>
      <c r="J359" s="324"/>
      <c r="K359" s="325"/>
      <c r="L359" s="324"/>
      <c r="M359" s="323"/>
      <c r="N359" s="324"/>
      <c r="O359" s="325"/>
      <c r="P359" s="324"/>
      <c r="Q359" s="323"/>
      <c r="R359" s="324"/>
      <c r="S359" s="325"/>
      <c r="T359" s="324"/>
      <c r="U359" s="323"/>
      <c r="V359" s="324"/>
      <c r="W359" s="325"/>
      <c r="X359" s="324"/>
      <c r="Y359" s="323"/>
      <c r="Z359" s="324"/>
      <c r="AA359" s="325"/>
      <c r="AB359" s="324"/>
      <c r="AC359" s="323"/>
      <c r="AD359" s="324"/>
      <c r="AE359" s="325"/>
      <c r="AF359" s="324"/>
      <c r="AG359" s="323"/>
      <c r="AH359" s="324"/>
      <c r="AI359" s="325"/>
      <c r="AJ359" s="324"/>
      <c r="AK359" s="323"/>
      <c r="AL359" s="324"/>
      <c r="AM359" s="325"/>
      <c r="AN359" s="324"/>
    </row>
    <row r="360" spans="1:45">
      <c r="A360" s="169" t="s">
        <v>642</v>
      </c>
      <c r="B360" s="172" t="s">
        <v>1051</v>
      </c>
      <c r="C360" s="169">
        <v>198118</v>
      </c>
      <c r="D360" s="171">
        <v>9</v>
      </c>
      <c r="E360" s="323">
        <v>1399</v>
      </c>
      <c r="F360" s="360">
        <v>1656</v>
      </c>
      <c r="G360" s="226">
        <v>7554</v>
      </c>
      <c r="H360" s="360">
        <v>7777.6</v>
      </c>
      <c r="I360" s="323"/>
      <c r="J360" s="324"/>
      <c r="K360" s="325"/>
      <c r="L360" s="324"/>
      <c r="M360" s="323"/>
      <c r="N360" s="324"/>
      <c r="O360" s="325"/>
      <c r="P360" s="324"/>
      <c r="Q360" s="323"/>
      <c r="R360" s="324"/>
      <c r="S360" s="325"/>
      <c r="T360" s="324"/>
      <c r="U360" s="323"/>
      <c r="V360" s="324"/>
      <c r="W360" s="325"/>
      <c r="X360" s="324"/>
      <c r="Y360" s="323"/>
      <c r="Z360" s="324"/>
      <c r="AA360" s="325"/>
      <c r="AB360" s="324"/>
      <c r="AC360" s="323"/>
      <c r="AD360" s="324"/>
      <c r="AE360" s="325"/>
      <c r="AF360" s="324"/>
      <c r="AG360" s="323"/>
      <c r="AH360" s="324"/>
      <c r="AI360" s="325"/>
      <c r="AJ360" s="324"/>
      <c r="AK360" s="323"/>
      <c r="AL360" s="324"/>
      <c r="AM360" s="325"/>
      <c r="AN360" s="324"/>
    </row>
    <row r="361" spans="1:45">
      <c r="A361" s="169" t="s">
        <v>642</v>
      </c>
      <c r="B361" s="170" t="s">
        <v>611</v>
      </c>
      <c r="C361" s="169">
        <v>198321</v>
      </c>
      <c r="D361" s="171">
        <v>9</v>
      </c>
      <c r="E361" s="323">
        <v>1474</v>
      </c>
      <c r="F361" s="360">
        <v>1665</v>
      </c>
      <c r="G361" s="226">
        <v>7530</v>
      </c>
      <c r="H361" s="360">
        <v>7786.6</v>
      </c>
      <c r="I361" s="323"/>
      <c r="J361" s="324"/>
      <c r="K361" s="325"/>
      <c r="L361" s="324"/>
      <c r="M361" s="323"/>
      <c r="N361" s="324"/>
      <c r="O361" s="325"/>
      <c r="P361" s="324"/>
      <c r="Q361" s="323"/>
      <c r="R361" s="324"/>
      <c r="S361" s="325"/>
      <c r="T361" s="324"/>
      <c r="U361" s="323"/>
      <c r="V361" s="324"/>
      <c r="W361" s="325"/>
      <c r="X361" s="324"/>
      <c r="Y361" s="323"/>
      <c r="Z361" s="324"/>
      <c r="AA361" s="325"/>
      <c r="AB361" s="324"/>
      <c r="AC361" s="323"/>
      <c r="AD361" s="324"/>
      <c r="AE361" s="325"/>
      <c r="AF361" s="324"/>
      <c r="AG361" s="323"/>
      <c r="AH361" s="324"/>
      <c r="AI361" s="325"/>
      <c r="AJ361" s="324"/>
      <c r="AK361" s="323"/>
      <c r="AL361" s="324"/>
      <c r="AM361" s="325"/>
      <c r="AN361" s="324"/>
    </row>
    <row r="362" spans="1:45">
      <c r="A362" s="169" t="s">
        <v>642</v>
      </c>
      <c r="B362" s="235" t="s">
        <v>612</v>
      </c>
      <c r="C362" s="169">
        <v>198330</v>
      </c>
      <c r="D362" s="171">
        <v>9</v>
      </c>
      <c r="E362" s="323">
        <v>1374</v>
      </c>
      <c r="F362" s="360">
        <v>1630</v>
      </c>
      <c r="G362" s="226">
        <v>7496</v>
      </c>
      <c r="H362" s="360">
        <v>7751.6</v>
      </c>
      <c r="I362" s="323"/>
      <c r="J362" s="324"/>
      <c r="K362" s="325"/>
      <c r="L362" s="324"/>
      <c r="M362" s="323"/>
      <c r="N362" s="324"/>
      <c r="O362" s="325"/>
      <c r="P362" s="324"/>
      <c r="Q362" s="323"/>
      <c r="R362" s="324"/>
      <c r="S362" s="325"/>
      <c r="T362" s="324"/>
      <c r="U362" s="323"/>
      <c r="V362" s="324"/>
      <c r="W362" s="325"/>
      <c r="X362" s="324"/>
      <c r="Y362" s="323"/>
      <c r="Z362" s="324"/>
      <c r="AA362" s="325"/>
      <c r="AB362" s="324"/>
      <c r="AC362" s="323"/>
      <c r="AD362" s="324"/>
      <c r="AE362" s="325"/>
      <c r="AF362" s="324"/>
      <c r="AG362" s="323"/>
      <c r="AH362" s="324"/>
      <c r="AI362" s="325"/>
      <c r="AJ362" s="324"/>
      <c r="AK362" s="323"/>
      <c r="AL362" s="324"/>
      <c r="AM362" s="325"/>
      <c r="AN362" s="324"/>
    </row>
    <row r="363" spans="1:45">
      <c r="A363" s="169" t="s">
        <v>642</v>
      </c>
      <c r="B363" s="170" t="s">
        <v>613</v>
      </c>
      <c r="C363" s="169">
        <v>197814</v>
      </c>
      <c r="D363" s="171">
        <v>9</v>
      </c>
      <c r="E363" s="323">
        <v>1414</v>
      </c>
      <c r="F363" s="360">
        <v>1690</v>
      </c>
      <c r="G363" s="226">
        <v>7536</v>
      </c>
      <c r="H363" s="360">
        <v>7811.6</v>
      </c>
      <c r="I363" s="323"/>
      <c r="J363" s="324"/>
      <c r="K363" s="325"/>
      <c r="L363" s="324"/>
      <c r="M363" s="323"/>
      <c r="N363" s="324"/>
      <c r="O363" s="325"/>
      <c r="P363" s="324"/>
      <c r="Q363" s="323"/>
      <c r="R363" s="324"/>
      <c r="S363" s="325"/>
      <c r="T363" s="324"/>
      <c r="U363" s="323"/>
      <c r="V363" s="324"/>
      <c r="W363" s="325"/>
      <c r="X363" s="324"/>
      <c r="Y363" s="323"/>
      <c r="Z363" s="324"/>
      <c r="AA363" s="325"/>
      <c r="AB363" s="324"/>
      <c r="AC363" s="323"/>
      <c r="AD363" s="324"/>
      <c r="AE363" s="325"/>
      <c r="AF363" s="324"/>
      <c r="AG363" s="323"/>
      <c r="AH363" s="324"/>
      <c r="AI363" s="325"/>
      <c r="AJ363" s="324"/>
      <c r="AK363" s="323"/>
      <c r="AL363" s="324"/>
      <c r="AM363" s="325"/>
      <c r="AN363" s="324"/>
    </row>
    <row r="364" spans="1:45">
      <c r="A364" s="169" t="s">
        <v>642</v>
      </c>
      <c r="B364" s="170" t="s">
        <v>614</v>
      </c>
      <c r="C364" s="169">
        <v>198367</v>
      </c>
      <c r="D364" s="171">
        <v>9</v>
      </c>
      <c r="E364" s="323">
        <v>1424</v>
      </c>
      <c r="F364" s="360">
        <v>1716</v>
      </c>
      <c r="G364" s="226">
        <v>7545.4</v>
      </c>
      <c r="H364" s="360">
        <v>7837.6</v>
      </c>
      <c r="I364" s="323"/>
      <c r="J364" s="324"/>
      <c r="K364" s="325"/>
      <c r="L364" s="324"/>
      <c r="M364" s="323"/>
      <c r="N364" s="324"/>
      <c r="O364" s="325"/>
      <c r="P364" s="324"/>
      <c r="Q364" s="323"/>
      <c r="R364" s="324"/>
      <c r="S364" s="325"/>
      <c r="T364" s="324"/>
      <c r="U364" s="323"/>
      <c r="V364" s="324"/>
      <c r="W364" s="325"/>
      <c r="X364" s="324"/>
      <c r="Y364" s="323"/>
      <c r="Z364" s="324"/>
      <c r="AA364" s="325"/>
      <c r="AB364" s="324"/>
      <c r="AC364" s="323"/>
      <c r="AD364" s="324"/>
      <c r="AE364" s="325"/>
      <c r="AF364" s="324"/>
      <c r="AG364" s="323"/>
      <c r="AH364" s="324"/>
      <c r="AI364" s="325"/>
      <c r="AJ364" s="324"/>
      <c r="AK364" s="323"/>
      <c r="AL364" s="324"/>
      <c r="AM364" s="325"/>
      <c r="AN364" s="324"/>
    </row>
    <row r="365" spans="1:45">
      <c r="A365" s="169" t="s">
        <v>642</v>
      </c>
      <c r="B365" s="170" t="s">
        <v>615</v>
      </c>
      <c r="C365" s="169">
        <v>198376</v>
      </c>
      <c r="D365" s="171">
        <v>9</v>
      </c>
      <c r="E365" s="323">
        <v>1426</v>
      </c>
      <c r="F365" s="360">
        <v>1710</v>
      </c>
      <c r="G365" s="226">
        <v>7548</v>
      </c>
      <c r="H365" s="360">
        <v>7831.6</v>
      </c>
      <c r="I365" s="323"/>
      <c r="J365" s="324"/>
      <c r="K365" s="325"/>
      <c r="L365" s="324"/>
      <c r="M365" s="323"/>
      <c r="N365" s="324"/>
      <c r="O365" s="325"/>
      <c r="P365" s="324"/>
      <c r="Q365" s="323"/>
      <c r="R365" s="324"/>
      <c r="S365" s="325"/>
      <c r="T365" s="324"/>
      <c r="U365" s="323"/>
      <c r="V365" s="324"/>
      <c r="W365" s="325"/>
      <c r="X365" s="324"/>
      <c r="Y365" s="323"/>
      <c r="Z365" s="324"/>
      <c r="AA365" s="325"/>
      <c r="AB365" s="324"/>
      <c r="AC365" s="323"/>
      <c r="AD365" s="324"/>
      <c r="AE365" s="325"/>
      <c r="AF365" s="324"/>
      <c r="AG365" s="323"/>
      <c r="AH365" s="324"/>
      <c r="AI365" s="325"/>
      <c r="AJ365" s="324"/>
      <c r="AK365" s="323"/>
      <c r="AL365" s="324"/>
      <c r="AM365" s="325"/>
      <c r="AN365" s="324"/>
    </row>
    <row r="366" spans="1:45">
      <c r="A366" s="169" t="s">
        <v>642</v>
      </c>
      <c r="B366" s="170" t="s">
        <v>617</v>
      </c>
      <c r="C366" s="169">
        <v>198491</v>
      </c>
      <c r="D366" s="171">
        <v>9</v>
      </c>
      <c r="E366" s="323">
        <v>1419</v>
      </c>
      <c r="F366" s="360">
        <v>1672</v>
      </c>
      <c r="G366" s="226">
        <v>7538</v>
      </c>
      <c r="H366" s="360">
        <v>7793.6</v>
      </c>
      <c r="I366" s="323"/>
      <c r="J366" s="324"/>
      <c r="K366" s="325"/>
      <c r="L366" s="324"/>
      <c r="M366" s="323"/>
      <c r="N366" s="324"/>
      <c r="O366" s="325"/>
      <c r="P366" s="324"/>
      <c r="Q366" s="323"/>
      <c r="R366" s="324"/>
      <c r="S366" s="325"/>
      <c r="T366" s="324"/>
      <c r="U366" s="323"/>
      <c r="V366" s="324"/>
      <c r="W366" s="325"/>
      <c r="X366" s="324"/>
      <c r="Y366" s="323"/>
      <c r="Z366" s="324"/>
      <c r="AA366" s="325"/>
      <c r="AB366" s="324"/>
      <c r="AC366" s="323"/>
      <c r="AD366" s="324"/>
      <c r="AE366" s="325"/>
      <c r="AF366" s="324"/>
      <c r="AG366" s="323"/>
      <c r="AH366" s="324"/>
      <c r="AI366" s="325"/>
      <c r="AJ366" s="324"/>
      <c r="AK366" s="323"/>
      <c r="AL366" s="324"/>
      <c r="AM366" s="325"/>
      <c r="AN366" s="324"/>
    </row>
    <row r="367" spans="1:45">
      <c r="A367" s="169" t="s">
        <v>642</v>
      </c>
      <c r="B367" s="235" t="s">
        <v>618</v>
      </c>
      <c r="C367" s="169">
        <v>198570</v>
      </c>
      <c r="D367" s="171">
        <v>9</v>
      </c>
      <c r="E367" s="323">
        <v>1520</v>
      </c>
      <c r="F367" s="360">
        <v>1776</v>
      </c>
      <c r="G367" s="226">
        <v>7641</v>
      </c>
      <c r="H367" s="360">
        <v>7897.6</v>
      </c>
      <c r="I367" s="323"/>
      <c r="J367" s="324"/>
      <c r="K367" s="325"/>
      <c r="L367" s="324"/>
      <c r="M367" s="323"/>
      <c r="N367" s="324"/>
      <c r="O367" s="325"/>
      <c r="P367" s="324"/>
      <c r="Q367" s="323"/>
      <c r="R367" s="324"/>
      <c r="S367" s="325"/>
      <c r="T367" s="324"/>
      <c r="U367" s="323"/>
      <c r="V367" s="324"/>
      <c r="W367" s="325"/>
      <c r="X367" s="324"/>
      <c r="Y367" s="323"/>
      <c r="Z367" s="324"/>
      <c r="AA367" s="325"/>
      <c r="AB367" s="324"/>
      <c r="AC367" s="323"/>
      <c r="AD367" s="324"/>
      <c r="AE367" s="325"/>
      <c r="AF367" s="324"/>
      <c r="AG367" s="323"/>
      <c r="AH367" s="324"/>
      <c r="AI367" s="325"/>
      <c r="AJ367" s="324"/>
      <c r="AK367" s="323"/>
      <c r="AL367" s="324"/>
      <c r="AM367" s="325"/>
      <c r="AN367" s="324"/>
    </row>
    <row r="368" spans="1:45">
      <c r="A368" s="169" t="s">
        <v>642</v>
      </c>
      <c r="B368" s="172" t="s">
        <v>619</v>
      </c>
      <c r="C368" s="169">
        <v>198668</v>
      </c>
      <c r="D368" s="171">
        <v>9</v>
      </c>
      <c r="E368" s="323">
        <v>1445</v>
      </c>
      <c r="F368" s="360">
        <v>1701</v>
      </c>
      <c r="G368" s="226">
        <v>7567</v>
      </c>
      <c r="H368" s="360">
        <v>7822.6</v>
      </c>
      <c r="I368" s="323"/>
      <c r="J368" s="324"/>
      <c r="K368" s="325"/>
      <c r="L368" s="324"/>
      <c r="M368" s="323"/>
      <c r="N368" s="324"/>
      <c r="O368" s="325"/>
      <c r="P368" s="324"/>
      <c r="Q368" s="323"/>
      <c r="R368" s="324"/>
      <c r="S368" s="325"/>
      <c r="T368" s="324"/>
      <c r="U368" s="323"/>
      <c r="V368" s="324"/>
      <c r="W368" s="325"/>
      <c r="X368" s="324"/>
      <c r="Y368" s="323"/>
      <c r="Z368" s="324"/>
      <c r="AA368" s="325"/>
      <c r="AB368" s="324"/>
      <c r="AC368" s="323"/>
      <c r="AD368" s="324"/>
      <c r="AE368" s="325"/>
      <c r="AF368" s="324"/>
      <c r="AG368" s="323"/>
      <c r="AH368" s="324"/>
      <c r="AI368" s="325"/>
      <c r="AJ368" s="324"/>
      <c r="AK368" s="323"/>
      <c r="AL368" s="324"/>
      <c r="AM368" s="325"/>
      <c r="AN368" s="324"/>
    </row>
    <row r="369" spans="1:40">
      <c r="A369" s="169" t="s">
        <v>642</v>
      </c>
      <c r="B369" s="170" t="s">
        <v>620</v>
      </c>
      <c r="C369" s="169">
        <v>198710</v>
      </c>
      <c r="D369" s="171">
        <v>9</v>
      </c>
      <c r="E369" s="323">
        <v>1382</v>
      </c>
      <c r="F369" s="360">
        <v>1638</v>
      </c>
      <c r="G369" s="226">
        <v>7504</v>
      </c>
      <c r="H369" s="360">
        <v>7759.6</v>
      </c>
      <c r="I369" s="323"/>
      <c r="J369" s="324"/>
      <c r="K369" s="325"/>
      <c r="L369" s="324"/>
      <c r="M369" s="323"/>
      <c r="N369" s="324"/>
      <c r="O369" s="325"/>
      <c r="P369" s="324"/>
      <c r="Q369" s="323"/>
      <c r="R369" s="324"/>
      <c r="S369" s="325"/>
      <c r="T369" s="324"/>
      <c r="U369" s="323"/>
      <c r="V369" s="324"/>
      <c r="W369" s="325"/>
      <c r="X369" s="324"/>
      <c r="Y369" s="323"/>
      <c r="Z369" s="324"/>
      <c r="AA369" s="325"/>
      <c r="AB369" s="324"/>
      <c r="AC369" s="323"/>
      <c r="AD369" s="324"/>
      <c r="AE369" s="325"/>
      <c r="AF369" s="324"/>
      <c r="AG369" s="323"/>
      <c r="AH369" s="324"/>
      <c r="AI369" s="325"/>
      <c r="AJ369" s="324"/>
      <c r="AK369" s="323"/>
      <c r="AL369" s="324"/>
      <c r="AM369" s="325"/>
      <c r="AN369" s="324"/>
    </row>
    <row r="370" spans="1:40">
      <c r="A370" s="169" t="s">
        <v>642</v>
      </c>
      <c r="B370" s="170" t="s">
        <v>621</v>
      </c>
      <c r="C370" s="169">
        <v>198774</v>
      </c>
      <c r="D370" s="171">
        <v>9</v>
      </c>
      <c r="E370" s="323">
        <v>1441</v>
      </c>
      <c r="F370" s="360">
        <v>1697</v>
      </c>
      <c r="G370" s="226">
        <v>7563</v>
      </c>
      <c r="H370" s="360">
        <v>7818.6</v>
      </c>
      <c r="I370" s="323"/>
      <c r="J370" s="324"/>
      <c r="K370" s="325"/>
      <c r="L370" s="324"/>
      <c r="M370" s="323"/>
      <c r="N370" s="324"/>
      <c r="O370" s="325"/>
      <c r="P370" s="324"/>
      <c r="Q370" s="323"/>
      <c r="R370" s="324"/>
      <c r="S370" s="325"/>
      <c r="T370" s="324"/>
      <c r="U370" s="323"/>
      <c r="V370" s="324"/>
      <c r="W370" s="325"/>
      <c r="X370" s="324"/>
      <c r="Y370" s="323"/>
      <c r="Z370" s="324"/>
      <c r="AA370" s="325"/>
      <c r="AB370" s="324"/>
      <c r="AC370" s="323"/>
      <c r="AD370" s="324"/>
      <c r="AE370" s="325"/>
      <c r="AF370" s="324"/>
      <c r="AG370" s="323"/>
      <c r="AH370" s="324"/>
      <c r="AI370" s="325"/>
      <c r="AJ370" s="324"/>
      <c r="AK370" s="323"/>
      <c r="AL370" s="324"/>
      <c r="AM370" s="325"/>
      <c r="AN370" s="324"/>
    </row>
    <row r="371" spans="1:40">
      <c r="A371" s="169" t="s">
        <v>642</v>
      </c>
      <c r="B371" s="170" t="s">
        <v>622</v>
      </c>
      <c r="C371" s="169">
        <v>198817</v>
      </c>
      <c r="D371" s="171">
        <v>9</v>
      </c>
      <c r="E371" s="323">
        <v>1447</v>
      </c>
      <c r="F371" s="360">
        <v>1703</v>
      </c>
      <c r="G371" s="226">
        <v>7569</v>
      </c>
      <c r="H371" s="360">
        <v>7824.6</v>
      </c>
      <c r="I371" s="323"/>
      <c r="J371" s="324"/>
      <c r="K371" s="325"/>
      <c r="L371" s="324"/>
      <c r="M371" s="323"/>
      <c r="N371" s="324"/>
      <c r="O371" s="325"/>
      <c r="P371" s="324"/>
      <c r="Q371" s="323"/>
      <c r="R371" s="324"/>
      <c r="S371" s="325"/>
      <c r="T371" s="324"/>
      <c r="U371" s="323"/>
      <c r="V371" s="324"/>
      <c r="W371" s="325"/>
      <c r="X371" s="324"/>
      <c r="Y371" s="323"/>
      <c r="Z371" s="324"/>
      <c r="AA371" s="325"/>
      <c r="AB371" s="324"/>
      <c r="AC371" s="323"/>
      <c r="AD371" s="324"/>
      <c r="AE371" s="325"/>
      <c r="AF371" s="324"/>
      <c r="AG371" s="323"/>
      <c r="AH371" s="324"/>
      <c r="AI371" s="325"/>
      <c r="AJ371" s="324"/>
      <c r="AK371" s="323"/>
      <c r="AL371" s="324"/>
      <c r="AM371" s="325"/>
      <c r="AN371" s="324"/>
    </row>
    <row r="372" spans="1:40">
      <c r="A372" s="169" t="s">
        <v>642</v>
      </c>
      <c r="B372" s="235" t="s">
        <v>457</v>
      </c>
      <c r="C372" s="173">
        <v>198914</v>
      </c>
      <c r="D372" s="342">
        <v>9</v>
      </c>
      <c r="E372" s="323">
        <v>1426</v>
      </c>
      <c r="F372" s="360">
        <v>1696</v>
      </c>
      <c r="G372" s="226">
        <v>7548</v>
      </c>
      <c r="H372" s="360">
        <v>7817.6</v>
      </c>
      <c r="I372" s="323"/>
      <c r="J372" s="324"/>
      <c r="K372" s="325"/>
      <c r="L372" s="324"/>
      <c r="M372" s="323"/>
      <c r="N372" s="324"/>
      <c r="O372" s="325"/>
      <c r="P372" s="324"/>
      <c r="Q372" s="323"/>
      <c r="R372" s="324"/>
      <c r="S372" s="325"/>
      <c r="T372" s="324"/>
      <c r="U372" s="323"/>
      <c r="V372" s="324"/>
      <c r="W372" s="325"/>
      <c r="X372" s="324"/>
      <c r="Y372" s="323"/>
      <c r="Z372" s="324"/>
      <c r="AA372" s="325"/>
      <c r="AB372" s="324"/>
      <c r="AC372" s="323"/>
      <c r="AD372" s="324"/>
      <c r="AE372" s="325"/>
      <c r="AF372" s="324"/>
      <c r="AG372" s="323"/>
      <c r="AH372" s="324"/>
      <c r="AI372" s="325"/>
      <c r="AJ372" s="324"/>
      <c r="AK372" s="323"/>
      <c r="AL372" s="324"/>
      <c r="AM372" s="325"/>
      <c r="AN372" s="324"/>
    </row>
    <row r="373" spans="1:40">
      <c r="A373" s="169" t="s">
        <v>642</v>
      </c>
      <c r="B373" s="170" t="s">
        <v>623</v>
      </c>
      <c r="C373" s="169">
        <v>198987</v>
      </c>
      <c r="D373" s="171">
        <v>9</v>
      </c>
      <c r="E373" s="323">
        <v>1414</v>
      </c>
      <c r="F373" s="360">
        <v>1670</v>
      </c>
      <c r="G373" s="226">
        <v>7536</v>
      </c>
      <c r="H373" s="360">
        <v>7791.6</v>
      </c>
      <c r="I373" s="323"/>
      <c r="J373" s="324"/>
      <c r="K373" s="325"/>
      <c r="L373" s="324"/>
      <c r="M373" s="323"/>
      <c r="N373" s="324"/>
      <c r="O373" s="325"/>
      <c r="P373" s="324"/>
      <c r="Q373" s="323"/>
      <c r="R373" s="324"/>
      <c r="S373" s="325"/>
      <c r="T373" s="324"/>
      <c r="U373" s="323"/>
      <c r="V373" s="324"/>
      <c r="W373" s="325"/>
      <c r="X373" s="324"/>
      <c r="Y373" s="323"/>
      <c r="Z373" s="324"/>
      <c r="AA373" s="325"/>
      <c r="AB373" s="324"/>
      <c r="AC373" s="323"/>
      <c r="AD373" s="324"/>
      <c r="AE373" s="325"/>
      <c r="AF373" s="324"/>
      <c r="AG373" s="323"/>
      <c r="AH373" s="324"/>
      <c r="AI373" s="325"/>
      <c r="AJ373" s="324"/>
      <c r="AK373" s="323"/>
      <c r="AL373" s="324"/>
      <c r="AM373" s="325"/>
      <c r="AN373" s="324"/>
    </row>
    <row r="374" spans="1:40">
      <c r="A374" s="169" t="s">
        <v>642</v>
      </c>
      <c r="B374" s="170" t="s">
        <v>624</v>
      </c>
      <c r="C374" s="169">
        <v>199087</v>
      </c>
      <c r="D374" s="171">
        <v>9</v>
      </c>
      <c r="E374" s="323">
        <v>1472</v>
      </c>
      <c r="F374" s="360">
        <v>1728</v>
      </c>
      <c r="G374" s="226">
        <v>7594</v>
      </c>
      <c r="H374" s="360">
        <v>7849.6</v>
      </c>
      <c r="I374" s="323"/>
      <c r="J374" s="324"/>
      <c r="K374" s="325"/>
      <c r="L374" s="324"/>
      <c r="M374" s="323"/>
      <c r="N374" s="324"/>
      <c r="O374" s="325"/>
      <c r="P374" s="324"/>
      <c r="Q374" s="323"/>
      <c r="R374" s="324"/>
      <c r="S374" s="325"/>
      <c r="T374" s="324"/>
      <c r="U374" s="323"/>
      <c r="V374" s="324"/>
      <c r="W374" s="325"/>
      <c r="X374" s="324"/>
      <c r="Y374" s="323"/>
      <c r="Z374" s="324"/>
      <c r="AA374" s="325"/>
      <c r="AB374" s="324"/>
      <c r="AC374" s="323"/>
      <c r="AD374" s="324"/>
      <c r="AE374" s="325"/>
      <c r="AF374" s="324"/>
      <c r="AG374" s="323"/>
      <c r="AH374" s="324"/>
      <c r="AI374" s="325"/>
      <c r="AJ374" s="324"/>
      <c r="AK374" s="323"/>
      <c r="AL374" s="324"/>
      <c r="AM374" s="325"/>
      <c r="AN374" s="324"/>
    </row>
    <row r="375" spans="1:40">
      <c r="A375" s="169" t="s">
        <v>642</v>
      </c>
      <c r="B375" s="170" t="s">
        <v>625</v>
      </c>
      <c r="C375" s="169">
        <v>199324</v>
      </c>
      <c r="D375" s="171">
        <v>9</v>
      </c>
      <c r="E375" s="323">
        <v>1387</v>
      </c>
      <c r="F375" s="360">
        <v>1648</v>
      </c>
      <c r="G375" s="226">
        <v>7509</v>
      </c>
      <c r="H375" s="360">
        <v>7769.6</v>
      </c>
      <c r="I375" s="323"/>
      <c r="J375" s="324"/>
      <c r="K375" s="325"/>
      <c r="L375" s="324"/>
      <c r="M375" s="323"/>
      <c r="N375" s="324"/>
      <c r="O375" s="325"/>
      <c r="P375" s="324"/>
      <c r="Q375" s="323"/>
      <c r="R375" s="324"/>
      <c r="S375" s="325"/>
      <c r="T375" s="324"/>
      <c r="U375" s="323"/>
      <c r="V375" s="324"/>
      <c r="W375" s="325"/>
      <c r="X375" s="324"/>
      <c r="Y375" s="323"/>
      <c r="Z375" s="324"/>
      <c r="AA375" s="325"/>
      <c r="AB375" s="324"/>
      <c r="AC375" s="323"/>
      <c r="AD375" s="324"/>
      <c r="AE375" s="325"/>
      <c r="AF375" s="324"/>
      <c r="AG375" s="323"/>
      <c r="AH375" s="324"/>
      <c r="AI375" s="325"/>
      <c r="AJ375" s="324"/>
      <c r="AK375" s="323"/>
      <c r="AL375" s="324"/>
      <c r="AM375" s="325"/>
      <c r="AN375" s="324"/>
    </row>
    <row r="376" spans="1:40">
      <c r="A376" s="169" t="s">
        <v>642</v>
      </c>
      <c r="B376" s="170" t="s">
        <v>626</v>
      </c>
      <c r="C376" s="169">
        <v>199421</v>
      </c>
      <c r="D376" s="171">
        <v>9</v>
      </c>
      <c r="E376" s="323">
        <v>1472</v>
      </c>
      <c r="F376" s="360">
        <v>1666</v>
      </c>
      <c r="G376" s="226">
        <v>7586.4</v>
      </c>
      <c r="H376" s="360">
        <v>7787.6</v>
      </c>
      <c r="I376" s="323"/>
      <c r="J376" s="324"/>
      <c r="K376" s="325"/>
      <c r="L376" s="324"/>
      <c r="M376" s="323"/>
      <c r="N376" s="324"/>
      <c r="O376" s="325"/>
      <c r="P376" s="324"/>
      <c r="Q376" s="323"/>
      <c r="R376" s="324"/>
      <c r="S376" s="325"/>
      <c r="T376" s="324"/>
      <c r="U376" s="323"/>
      <c r="V376" s="324"/>
      <c r="W376" s="325"/>
      <c r="X376" s="324"/>
      <c r="Y376" s="323"/>
      <c r="Z376" s="324"/>
      <c r="AA376" s="325"/>
      <c r="AB376" s="324"/>
      <c r="AC376" s="323"/>
      <c r="AD376" s="324"/>
      <c r="AE376" s="325"/>
      <c r="AF376" s="324"/>
      <c r="AG376" s="323"/>
      <c r="AH376" s="324"/>
      <c r="AI376" s="325"/>
      <c r="AJ376" s="324"/>
      <c r="AK376" s="323"/>
      <c r="AL376" s="324"/>
      <c r="AM376" s="325"/>
      <c r="AN376" s="324"/>
    </row>
    <row r="377" spans="1:40">
      <c r="A377" s="169" t="s">
        <v>642</v>
      </c>
      <c r="B377" s="172" t="s">
        <v>627</v>
      </c>
      <c r="C377" s="169">
        <v>199449</v>
      </c>
      <c r="D377" s="171">
        <v>9</v>
      </c>
      <c r="E377" s="323">
        <v>1382</v>
      </c>
      <c r="F377" s="360">
        <v>1658</v>
      </c>
      <c r="G377" s="226">
        <v>7504</v>
      </c>
      <c r="H377" s="360">
        <v>7779.6</v>
      </c>
      <c r="I377" s="323"/>
      <c r="J377" s="324"/>
      <c r="K377" s="325"/>
      <c r="L377" s="324"/>
      <c r="M377" s="323"/>
      <c r="N377" s="324"/>
      <c r="O377" s="325"/>
      <c r="P377" s="324"/>
      <c r="Q377" s="323"/>
      <c r="R377" s="324"/>
      <c r="S377" s="325"/>
      <c r="T377" s="324"/>
      <c r="U377" s="323"/>
      <c r="V377" s="324"/>
      <c r="W377" s="325"/>
      <c r="X377" s="324"/>
      <c r="Y377" s="323"/>
      <c r="Z377" s="324"/>
      <c r="AA377" s="325"/>
      <c r="AB377" s="324"/>
      <c r="AC377" s="323"/>
      <c r="AD377" s="324"/>
      <c r="AE377" s="325"/>
      <c r="AF377" s="324"/>
      <c r="AG377" s="323"/>
      <c r="AH377" s="324"/>
      <c r="AI377" s="325"/>
      <c r="AJ377" s="324"/>
      <c r="AK377" s="323"/>
      <c r="AL377" s="324"/>
      <c r="AM377" s="325"/>
      <c r="AN377" s="324"/>
    </row>
    <row r="378" spans="1:40">
      <c r="A378" s="169" t="s">
        <v>642</v>
      </c>
      <c r="B378" s="170" t="s">
        <v>628</v>
      </c>
      <c r="C378" s="169">
        <v>199476</v>
      </c>
      <c r="D378" s="171">
        <v>9</v>
      </c>
      <c r="E378" s="323">
        <v>1404</v>
      </c>
      <c r="F378" s="360">
        <v>1660</v>
      </c>
      <c r="G378" s="226">
        <v>7526</v>
      </c>
      <c r="H378" s="360">
        <v>7781.6</v>
      </c>
      <c r="I378" s="323"/>
      <c r="J378" s="324"/>
      <c r="K378" s="325"/>
      <c r="L378" s="324"/>
      <c r="M378" s="323"/>
      <c r="N378" s="324"/>
      <c r="O378" s="325"/>
      <c r="P378" s="324"/>
      <c r="Q378" s="323"/>
      <c r="R378" s="324"/>
      <c r="S378" s="325"/>
      <c r="T378" s="324"/>
      <c r="U378" s="323"/>
      <c r="V378" s="324"/>
      <c r="W378" s="325"/>
      <c r="X378" s="324"/>
      <c r="Y378" s="323"/>
      <c r="Z378" s="324"/>
      <c r="AA378" s="325"/>
      <c r="AB378" s="324"/>
      <c r="AC378" s="323"/>
      <c r="AD378" s="324"/>
      <c r="AE378" s="325"/>
      <c r="AF378" s="324"/>
      <c r="AG378" s="323"/>
      <c r="AH378" s="324"/>
      <c r="AI378" s="325"/>
      <c r="AJ378" s="324"/>
      <c r="AK378" s="323"/>
      <c r="AL378" s="324"/>
      <c r="AM378" s="325"/>
      <c r="AN378" s="324"/>
    </row>
    <row r="379" spans="1:40">
      <c r="A379" s="169" t="s">
        <v>642</v>
      </c>
      <c r="B379" s="170" t="s">
        <v>629</v>
      </c>
      <c r="C379" s="169">
        <v>199485</v>
      </c>
      <c r="D379" s="171">
        <v>9</v>
      </c>
      <c r="E379" s="323">
        <v>1576</v>
      </c>
      <c r="F379" s="360">
        <v>1716</v>
      </c>
      <c r="G379" s="226">
        <v>7697</v>
      </c>
      <c r="H379" s="360">
        <v>7837.6</v>
      </c>
      <c r="I379" s="323"/>
      <c r="J379" s="324"/>
      <c r="K379" s="325"/>
      <c r="L379" s="324"/>
      <c r="M379" s="323"/>
      <c r="N379" s="324"/>
      <c r="O379" s="325"/>
      <c r="P379" s="324"/>
      <c r="Q379" s="323"/>
      <c r="R379" s="324"/>
      <c r="S379" s="325"/>
      <c r="T379" s="324"/>
      <c r="U379" s="323"/>
      <c r="V379" s="324"/>
      <c r="W379" s="325"/>
      <c r="X379" s="324"/>
      <c r="Y379" s="323"/>
      <c r="Z379" s="324"/>
      <c r="AA379" s="325"/>
      <c r="AB379" s="324"/>
      <c r="AC379" s="323"/>
      <c r="AD379" s="324"/>
      <c r="AE379" s="325"/>
      <c r="AF379" s="324"/>
      <c r="AG379" s="323"/>
      <c r="AH379" s="324"/>
      <c r="AI379" s="325"/>
      <c r="AJ379" s="324"/>
      <c r="AK379" s="323"/>
      <c r="AL379" s="324"/>
      <c r="AM379" s="325"/>
      <c r="AN379" s="324"/>
    </row>
    <row r="380" spans="1:40">
      <c r="A380" s="169" t="s">
        <v>642</v>
      </c>
      <c r="B380" s="170" t="s">
        <v>440</v>
      </c>
      <c r="C380" s="169">
        <v>199634</v>
      </c>
      <c r="D380" s="171">
        <v>9</v>
      </c>
      <c r="E380" s="323">
        <v>1441</v>
      </c>
      <c r="F380" s="360">
        <v>1697</v>
      </c>
      <c r="G380" s="226">
        <v>7563</v>
      </c>
      <c r="H380" s="360">
        <v>7818.6</v>
      </c>
      <c r="I380" s="323"/>
      <c r="J380" s="324"/>
      <c r="K380" s="325"/>
      <c r="L380" s="324"/>
      <c r="M380" s="323"/>
      <c r="N380" s="324"/>
      <c r="O380" s="325"/>
      <c r="P380" s="324"/>
      <c r="Q380" s="323"/>
      <c r="R380" s="324"/>
      <c r="S380" s="325"/>
      <c r="T380" s="324"/>
      <c r="U380" s="323"/>
      <c r="V380" s="324"/>
      <c r="W380" s="325"/>
      <c r="X380" s="324"/>
      <c r="Y380" s="323"/>
      <c r="Z380" s="324"/>
      <c r="AA380" s="325"/>
      <c r="AB380" s="324"/>
      <c r="AC380" s="323"/>
      <c r="AD380" s="324"/>
      <c r="AE380" s="325"/>
      <c r="AF380" s="324"/>
      <c r="AG380" s="323"/>
      <c r="AH380" s="324"/>
      <c r="AI380" s="325"/>
      <c r="AJ380" s="324"/>
      <c r="AK380" s="323"/>
      <c r="AL380" s="324"/>
      <c r="AM380" s="325"/>
      <c r="AN380" s="324"/>
    </row>
    <row r="381" spans="1:40">
      <c r="A381" s="169" t="s">
        <v>642</v>
      </c>
      <c r="B381" s="172" t="s">
        <v>441</v>
      </c>
      <c r="C381" s="169">
        <v>197850</v>
      </c>
      <c r="D381" s="171">
        <v>9</v>
      </c>
      <c r="E381" s="323">
        <v>1462</v>
      </c>
      <c r="F381" s="360">
        <v>1738</v>
      </c>
      <c r="G381" s="226">
        <v>7584</v>
      </c>
      <c r="H381" s="360">
        <v>7859.6</v>
      </c>
      <c r="I381" s="323"/>
      <c r="J381" s="324"/>
      <c r="K381" s="325"/>
      <c r="L381" s="324"/>
      <c r="M381" s="323"/>
      <c r="N381" s="324"/>
      <c r="O381" s="325"/>
      <c r="P381" s="324"/>
      <c r="Q381" s="323"/>
      <c r="R381" s="324"/>
      <c r="S381" s="325"/>
      <c r="T381" s="324"/>
      <c r="U381" s="323"/>
      <c r="V381" s="324"/>
      <c r="W381" s="325"/>
      <c r="X381" s="324"/>
      <c r="Y381" s="323"/>
      <c r="Z381" s="324"/>
      <c r="AA381" s="325"/>
      <c r="AB381" s="324"/>
      <c r="AC381" s="323"/>
      <c r="AD381" s="324"/>
      <c r="AE381" s="325"/>
      <c r="AF381" s="324"/>
      <c r="AG381" s="323"/>
      <c r="AH381" s="324"/>
      <c r="AI381" s="325"/>
      <c r="AJ381" s="324"/>
      <c r="AK381" s="323"/>
      <c r="AL381" s="324"/>
      <c r="AM381" s="325"/>
      <c r="AN381" s="324"/>
    </row>
    <row r="382" spans="1:40">
      <c r="A382" s="169" t="s">
        <v>642</v>
      </c>
      <c r="B382" s="170" t="s">
        <v>442</v>
      </c>
      <c r="C382" s="169">
        <v>199722</v>
      </c>
      <c r="D382" s="171">
        <v>9</v>
      </c>
      <c r="E382" s="323">
        <v>1439</v>
      </c>
      <c r="F382" s="360">
        <v>1699</v>
      </c>
      <c r="G382" s="226">
        <v>7561.4</v>
      </c>
      <c r="H382" s="360">
        <v>7820.6</v>
      </c>
      <c r="I382" s="323"/>
      <c r="J382" s="324"/>
      <c r="K382" s="325"/>
      <c r="L382" s="324"/>
      <c r="M382" s="323"/>
      <c r="N382" s="324"/>
      <c r="O382" s="325"/>
      <c r="P382" s="324"/>
      <c r="Q382" s="323"/>
      <c r="R382" s="324"/>
      <c r="S382" s="325"/>
      <c r="T382" s="324"/>
      <c r="U382" s="323"/>
      <c r="V382" s="324"/>
      <c r="W382" s="325"/>
      <c r="X382" s="324"/>
      <c r="Y382" s="323"/>
      <c r="Z382" s="324"/>
      <c r="AA382" s="325"/>
      <c r="AB382" s="324"/>
      <c r="AC382" s="323"/>
      <c r="AD382" s="324"/>
      <c r="AE382" s="325"/>
      <c r="AF382" s="324"/>
      <c r="AG382" s="323"/>
      <c r="AH382" s="324"/>
      <c r="AI382" s="325"/>
      <c r="AJ382" s="324"/>
      <c r="AK382" s="323"/>
      <c r="AL382" s="324"/>
      <c r="AM382" s="325"/>
      <c r="AN382" s="324"/>
    </row>
    <row r="383" spans="1:40">
      <c r="A383" s="169" t="s">
        <v>642</v>
      </c>
      <c r="B383" s="170" t="s">
        <v>443</v>
      </c>
      <c r="C383" s="169">
        <v>199731</v>
      </c>
      <c r="D383" s="171">
        <v>9</v>
      </c>
      <c r="E383" s="323">
        <v>1377</v>
      </c>
      <c r="F383" s="360">
        <v>1665</v>
      </c>
      <c r="G383" s="226">
        <v>7498</v>
      </c>
      <c r="H383" s="360">
        <v>7786.6</v>
      </c>
      <c r="I383" s="323"/>
      <c r="J383" s="324"/>
      <c r="K383" s="325"/>
      <c r="L383" s="324"/>
      <c r="M383" s="323"/>
      <c r="N383" s="324"/>
      <c r="O383" s="325"/>
      <c r="P383" s="324"/>
      <c r="Q383" s="323"/>
      <c r="R383" s="324"/>
      <c r="S383" s="325"/>
      <c r="T383" s="324"/>
      <c r="U383" s="323"/>
      <c r="V383" s="324"/>
      <c r="W383" s="325"/>
      <c r="X383" s="324"/>
      <c r="Y383" s="323"/>
      <c r="Z383" s="324"/>
      <c r="AA383" s="325"/>
      <c r="AB383" s="324"/>
      <c r="AC383" s="323"/>
      <c r="AD383" s="324"/>
      <c r="AE383" s="325"/>
      <c r="AF383" s="324"/>
      <c r="AG383" s="323"/>
      <c r="AH383" s="324"/>
      <c r="AI383" s="325"/>
      <c r="AJ383" s="324"/>
      <c r="AK383" s="323"/>
      <c r="AL383" s="324"/>
      <c r="AM383" s="325"/>
      <c r="AN383" s="324"/>
    </row>
    <row r="384" spans="1:40">
      <c r="A384" s="169" t="s">
        <v>642</v>
      </c>
      <c r="B384" s="172" t="s">
        <v>444</v>
      </c>
      <c r="C384" s="169">
        <v>199740</v>
      </c>
      <c r="D384" s="171">
        <v>9</v>
      </c>
      <c r="E384" s="323">
        <v>1464</v>
      </c>
      <c r="F384" s="360">
        <v>1720</v>
      </c>
      <c r="G384" s="226">
        <v>7586</v>
      </c>
      <c r="H384" s="360">
        <v>7841.6</v>
      </c>
      <c r="I384" s="323"/>
      <c r="J384" s="324"/>
      <c r="K384" s="325"/>
      <c r="L384" s="324"/>
      <c r="M384" s="323"/>
      <c r="N384" s="324"/>
      <c r="O384" s="325"/>
      <c r="P384" s="324"/>
      <c r="Q384" s="323"/>
      <c r="R384" s="324"/>
      <c r="S384" s="325"/>
      <c r="T384" s="324"/>
      <c r="U384" s="323"/>
      <c r="V384" s="324"/>
      <c r="W384" s="325"/>
      <c r="X384" s="324"/>
      <c r="Y384" s="323"/>
      <c r="Z384" s="324"/>
      <c r="AA384" s="325"/>
      <c r="AB384" s="324"/>
      <c r="AC384" s="323"/>
      <c r="AD384" s="324"/>
      <c r="AE384" s="325"/>
      <c r="AF384" s="324"/>
      <c r="AG384" s="323"/>
      <c r="AH384" s="324"/>
      <c r="AI384" s="325"/>
      <c r="AJ384" s="324"/>
      <c r="AK384" s="323"/>
      <c r="AL384" s="324"/>
      <c r="AM384" s="325"/>
      <c r="AN384" s="324"/>
    </row>
    <row r="385" spans="1:45">
      <c r="A385" s="169" t="s">
        <v>642</v>
      </c>
      <c r="B385" s="170" t="s">
        <v>445</v>
      </c>
      <c r="C385" s="169">
        <v>199768</v>
      </c>
      <c r="D385" s="171">
        <v>9</v>
      </c>
      <c r="E385" s="323">
        <v>1415</v>
      </c>
      <c r="F385" s="360">
        <v>1703</v>
      </c>
      <c r="G385" s="226">
        <v>7536</v>
      </c>
      <c r="H385" s="360">
        <v>7824.6</v>
      </c>
      <c r="I385" s="323"/>
      <c r="J385" s="324"/>
      <c r="K385" s="325"/>
      <c r="L385" s="324"/>
      <c r="M385" s="323"/>
      <c r="N385" s="324"/>
      <c r="O385" s="325"/>
      <c r="P385" s="324"/>
      <c r="Q385" s="323"/>
      <c r="R385" s="324"/>
      <c r="S385" s="325"/>
      <c r="T385" s="324"/>
      <c r="U385" s="323"/>
      <c r="V385" s="324"/>
      <c r="W385" s="325"/>
      <c r="X385" s="324"/>
      <c r="Y385" s="323"/>
      <c r="Z385" s="324"/>
      <c r="AA385" s="325"/>
      <c r="AB385" s="324"/>
      <c r="AC385" s="323"/>
      <c r="AD385" s="324"/>
      <c r="AE385" s="325"/>
      <c r="AF385" s="324"/>
      <c r="AG385" s="323"/>
      <c r="AH385" s="324"/>
      <c r="AI385" s="325"/>
      <c r="AJ385" s="324"/>
      <c r="AK385" s="323"/>
      <c r="AL385" s="324"/>
      <c r="AM385" s="325"/>
      <c r="AN385" s="324"/>
    </row>
    <row r="386" spans="1:45">
      <c r="A386" s="169" t="s">
        <v>642</v>
      </c>
      <c r="B386" s="170" t="s">
        <v>446</v>
      </c>
      <c r="C386" s="169">
        <v>199838</v>
      </c>
      <c r="D386" s="171">
        <v>9</v>
      </c>
      <c r="E386" s="323">
        <v>1424</v>
      </c>
      <c r="F386" s="360">
        <v>1686</v>
      </c>
      <c r="G386" s="226">
        <v>7545.4</v>
      </c>
      <c r="H386" s="360">
        <v>7807.6</v>
      </c>
      <c r="I386" s="323"/>
      <c r="J386" s="324"/>
      <c r="K386" s="325"/>
      <c r="L386" s="324"/>
      <c r="M386" s="323"/>
      <c r="N386" s="324"/>
      <c r="O386" s="325"/>
      <c r="P386" s="324"/>
      <c r="Q386" s="323"/>
      <c r="R386" s="324"/>
      <c r="S386" s="325"/>
      <c r="T386" s="324"/>
      <c r="U386" s="323"/>
      <c r="V386" s="324"/>
      <c r="W386" s="325"/>
      <c r="X386" s="324"/>
      <c r="Y386" s="323"/>
      <c r="Z386" s="324"/>
      <c r="AA386" s="325"/>
      <c r="AB386" s="324"/>
      <c r="AC386" s="323"/>
      <c r="AD386" s="324"/>
      <c r="AE386" s="325"/>
      <c r="AF386" s="324"/>
      <c r="AG386" s="323"/>
      <c r="AH386" s="324"/>
      <c r="AI386" s="325"/>
      <c r="AJ386" s="324"/>
      <c r="AK386" s="323"/>
      <c r="AL386" s="324"/>
      <c r="AM386" s="325"/>
      <c r="AN386" s="324"/>
    </row>
    <row r="387" spans="1:45">
      <c r="A387" s="169" t="s">
        <v>642</v>
      </c>
      <c r="B387" s="170" t="s">
        <v>447</v>
      </c>
      <c r="C387" s="169">
        <v>199892</v>
      </c>
      <c r="D387" s="171">
        <v>9</v>
      </c>
      <c r="E387" s="323">
        <v>1408</v>
      </c>
      <c r="F387" s="360">
        <v>1672</v>
      </c>
      <c r="G387" s="226">
        <v>7530</v>
      </c>
      <c r="H387" s="360">
        <v>7793.6</v>
      </c>
      <c r="I387" s="323"/>
      <c r="J387" s="324"/>
      <c r="K387" s="325"/>
      <c r="L387" s="324"/>
      <c r="M387" s="323"/>
      <c r="N387" s="324"/>
      <c r="O387" s="325"/>
      <c r="P387" s="324"/>
      <c r="Q387" s="323"/>
      <c r="R387" s="324"/>
      <c r="S387" s="325"/>
      <c r="T387" s="324"/>
      <c r="U387" s="323"/>
      <c r="V387" s="324"/>
      <c r="W387" s="325"/>
      <c r="X387" s="324"/>
      <c r="Y387" s="323"/>
      <c r="Z387" s="324"/>
      <c r="AA387" s="325"/>
      <c r="AB387" s="324"/>
      <c r="AC387" s="323"/>
      <c r="AD387" s="324"/>
      <c r="AE387" s="325"/>
      <c r="AF387" s="324"/>
      <c r="AG387" s="323"/>
      <c r="AH387" s="324"/>
      <c r="AI387" s="325"/>
      <c r="AJ387" s="324"/>
      <c r="AK387" s="323"/>
      <c r="AL387" s="324"/>
      <c r="AM387" s="325"/>
      <c r="AN387" s="324"/>
    </row>
    <row r="388" spans="1:45">
      <c r="A388" s="169" t="s">
        <v>642</v>
      </c>
      <c r="B388" s="170" t="s">
        <v>448</v>
      </c>
      <c r="C388" s="169">
        <v>199908</v>
      </c>
      <c r="D388" s="171">
        <v>9</v>
      </c>
      <c r="E388" s="323">
        <v>1382</v>
      </c>
      <c r="F388" s="360">
        <v>1627</v>
      </c>
      <c r="G388" s="226">
        <v>7493</v>
      </c>
      <c r="H388" s="360">
        <v>7748.6</v>
      </c>
      <c r="I388" s="323"/>
      <c r="J388" s="324"/>
      <c r="K388" s="325"/>
      <c r="L388" s="324"/>
      <c r="M388" s="323"/>
      <c r="N388" s="324"/>
      <c r="O388" s="325"/>
      <c r="P388" s="324"/>
      <c r="Q388" s="323"/>
      <c r="R388" s="324"/>
      <c r="S388" s="325"/>
      <c r="T388" s="324"/>
      <c r="U388" s="323"/>
      <c r="V388" s="324"/>
      <c r="W388" s="325"/>
      <c r="X388" s="324"/>
      <c r="Y388" s="323"/>
      <c r="Z388" s="324"/>
      <c r="AA388" s="325"/>
      <c r="AB388" s="324"/>
      <c r="AC388" s="323"/>
      <c r="AD388" s="324"/>
      <c r="AE388" s="325"/>
      <c r="AF388" s="324"/>
      <c r="AG388" s="323"/>
      <c r="AH388" s="324"/>
      <c r="AI388" s="325"/>
      <c r="AJ388" s="324"/>
      <c r="AK388" s="323"/>
      <c r="AL388" s="324"/>
      <c r="AM388" s="325"/>
      <c r="AN388" s="324"/>
    </row>
    <row r="389" spans="1:45">
      <c r="A389" s="169" t="s">
        <v>642</v>
      </c>
      <c r="B389" s="170" t="s">
        <v>449</v>
      </c>
      <c r="C389" s="169">
        <v>199926</v>
      </c>
      <c r="D389" s="171">
        <v>9</v>
      </c>
      <c r="E389" s="323">
        <v>1453</v>
      </c>
      <c r="F389" s="360">
        <v>1719</v>
      </c>
      <c r="G389" s="226">
        <v>7577</v>
      </c>
      <c r="H389" s="360">
        <v>7840.6</v>
      </c>
      <c r="I389" s="323"/>
      <c r="J389" s="324"/>
      <c r="K389" s="325"/>
      <c r="L389" s="324"/>
      <c r="M389" s="323"/>
      <c r="N389" s="324"/>
      <c r="O389" s="325"/>
      <c r="P389" s="324"/>
      <c r="Q389" s="323"/>
      <c r="R389" s="324"/>
      <c r="S389" s="325"/>
      <c r="T389" s="324"/>
      <c r="U389" s="323"/>
      <c r="V389" s="324"/>
      <c r="W389" s="325"/>
      <c r="X389" s="324"/>
      <c r="Y389" s="323"/>
      <c r="Z389" s="324"/>
      <c r="AA389" s="325"/>
      <c r="AB389" s="324"/>
      <c r="AC389" s="323"/>
      <c r="AD389" s="324"/>
      <c r="AE389" s="325"/>
      <c r="AF389" s="324"/>
      <c r="AG389" s="323"/>
      <c r="AH389" s="324"/>
      <c r="AI389" s="325"/>
      <c r="AJ389" s="324"/>
      <c r="AK389" s="323"/>
      <c r="AL389" s="324"/>
      <c r="AM389" s="325"/>
      <c r="AN389" s="324"/>
    </row>
    <row r="390" spans="1:45">
      <c r="A390" s="169" t="s">
        <v>642</v>
      </c>
      <c r="B390" s="170" t="s">
        <v>450</v>
      </c>
      <c r="C390" s="169">
        <v>199953</v>
      </c>
      <c r="D390" s="171">
        <v>9</v>
      </c>
      <c r="E390" s="323">
        <v>1408</v>
      </c>
      <c r="F390" s="360">
        <v>1687</v>
      </c>
      <c r="G390" s="226">
        <v>7530</v>
      </c>
      <c r="H390" s="360">
        <v>7808.6</v>
      </c>
      <c r="I390" s="323"/>
      <c r="J390" s="324"/>
      <c r="K390" s="325"/>
      <c r="L390" s="324"/>
      <c r="M390" s="323"/>
      <c r="N390" s="324"/>
      <c r="O390" s="325"/>
      <c r="P390" s="324"/>
      <c r="Q390" s="323"/>
      <c r="R390" s="324"/>
      <c r="S390" s="325"/>
      <c r="T390" s="324"/>
      <c r="U390" s="323"/>
      <c r="V390" s="324"/>
      <c r="W390" s="325"/>
      <c r="X390" s="324"/>
      <c r="Y390" s="323"/>
      <c r="Z390" s="324"/>
      <c r="AA390" s="325"/>
      <c r="AB390" s="324"/>
      <c r="AC390" s="323"/>
      <c r="AD390" s="324"/>
      <c r="AE390" s="325"/>
      <c r="AF390" s="324"/>
      <c r="AG390" s="323"/>
      <c r="AH390" s="324"/>
      <c r="AI390" s="325"/>
      <c r="AJ390" s="324"/>
      <c r="AK390" s="323"/>
      <c r="AL390" s="324"/>
      <c r="AM390" s="325"/>
      <c r="AN390" s="324"/>
    </row>
    <row r="391" spans="1:45">
      <c r="A391" s="169" t="s">
        <v>642</v>
      </c>
      <c r="B391" s="172" t="s">
        <v>609</v>
      </c>
      <c r="C391" s="173">
        <v>197966</v>
      </c>
      <c r="D391" s="342">
        <v>10</v>
      </c>
      <c r="E391" s="323">
        <v>1408</v>
      </c>
      <c r="F391" s="360">
        <v>1664</v>
      </c>
      <c r="G391" s="226">
        <v>7530</v>
      </c>
      <c r="H391" s="360">
        <v>7785.6</v>
      </c>
      <c r="I391" s="323"/>
      <c r="J391" s="324"/>
      <c r="K391" s="325"/>
      <c r="L391" s="324"/>
      <c r="M391" s="323"/>
      <c r="N391" s="324"/>
      <c r="O391" s="325"/>
      <c r="P391" s="324"/>
      <c r="Q391" s="323"/>
      <c r="R391" s="324"/>
      <c r="S391" s="325"/>
      <c r="T391" s="324"/>
      <c r="U391" s="323"/>
      <c r="V391" s="324"/>
      <c r="W391" s="325"/>
      <c r="X391" s="324"/>
      <c r="Y391" s="323"/>
      <c r="Z391" s="324"/>
      <c r="AA391" s="325"/>
      <c r="AB391" s="324"/>
      <c r="AC391" s="323"/>
      <c r="AD391" s="324"/>
      <c r="AE391" s="325"/>
      <c r="AF391" s="324"/>
      <c r="AG391" s="323"/>
      <c r="AH391" s="324"/>
      <c r="AI391" s="325"/>
      <c r="AJ391" s="324"/>
      <c r="AK391" s="323"/>
      <c r="AL391" s="324"/>
      <c r="AM391" s="325"/>
      <c r="AN391" s="324"/>
    </row>
    <row r="392" spans="1:45">
      <c r="A392" s="169" t="s">
        <v>642</v>
      </c>
      <c r="B392" s="170" t="s">
        <v>451</v>
      </c>
      <c r="C392" s="169">
        <v>198011</v>
      </c>
      <c r="D392" s="171">
        <v>10</v>
      </c>
      <c r="E392" s="323">
        <v>1415</v>
      </c>
      <c r="F392" s="360">
        <v>1682</v>
      </c>
      <c r="G392" s="226">
        <v>7536</v>
      </c>
      <c r="H392" s="360">
        <v>7803.6</v>
      </c>
      <c r="I392" s="323"/>
      <c r="J392" s="324"/>
      <c r="K392" s="325"/>
      <c r="L392" s="324"/>
      <c r="M392" s="323"/>
      <c r="N392" s="324"/>
      <c r="O392" s="325"/>
      <c r="P392" s="324"/>
      <c r="Q392" s="323"/>
      <c r="R392" s="324"/>
      <c r="S392" s="325"/>
      <c r="T392" s="324"/>
      <c r="U392" s="323"/>
      <c r="V392" s="324"/>
      <c r="W392" s="325"/>
      <c r="X392" s="324"/>
      <c r="Y392" s="323"/>
      <c r="Z392" s="324"/>
      <c r="AA392" s="325"/>
      <c r="AB392" s="324"/>
      <c r="AC392" s="323"/>
      <c r="AD392" s="324"/>
      <c r="AE392" s="325"/>
      <c r="AF392" s="324"/>
      <c r="AG392" s="323"/>
      <c r="AH392" s="324"/>
      <c r="AI392" s="325"/>
      <c r="AJ392" s="324"/>
      <c r="AK392" s="323"/>
      <c r="AL392" s="324"/>
      <c r="AM392" s="325"/>
      <c r="AN392" s="324"/>
    </row>
    <row r="393" spans="1:45">
      <c r="A393" s="169" t="s">
        <v>642</v>
      </c>
      <c r="B393" s="170" t="s">
        <v>452</v>
      </c>
      <c r="C393" s="169">
        <v>198084</v>
      </c>
      <c r="D393" s="171">
        <v>10</v>
      </c>
      <c r="E393" s="323">
        <v>1443</v>
      </c>
      <c r="F393" s="360">
        <v>1700</v>
      </c>
      <c r="G393" s="226">
        <v>7565.4</v>
      </c>
      <c r="H393" s="360">
        <v>7821.6</v>
      </c>
      <c r="I393" s="323"/>
      <c r="J393" s="324"/>
      <c r="K393" s="325"/>
      <c r="L393" s="324"/>
      <c r="M393" s="323"/>
      <c r="N393" s="324"/>
      <c r="O393" s="325"/>
      <c r="P393" s="324"/>
      <c r="Q393" s="323"/>
      <c r="R393" s="324"/>
      <c r="S393" s="325"/>
      <c r="T393" s="324"/>
      <c r="U393" s="323"/>
      <c r="V393" s="324"/>
      <c r="W393" s="325"/>
      <c r="X393" s="324"/>
      <c r="Y393" s="323"/>
      <c r="Z393" s="324"/>
      <c r="AA393" s="325"/>
      <c r="AB393" s="324"/>
      <c r="AC393" s="323"/>
      <c r="AD393" s="324"/>
      <c r="AE393" s="325"/>
      <c r="AF393" s="324"/>
      <c r="AG393" s="323"/>
      <c r="AH393" s="324"/>
      <c r="AI393" s="325"/>
      <c r="AJ393" s="324"/>
      <c r="AK393" s="323"/>
      <c r="AL393" s="324"/>
      <c r="AM393" s="325"/>
      <c r="AN393" s="324"/>
    </row>
    <row r="394" spans="1:45">
      <c r="A394" s="169" t="s">
        <v>642</v>
      </c>
      <c r="B394" s="172" t="s">
        <v>453</v>
      </c>
      <c r="C394" s="169">
        <v>198206</v>
      </c>
      <c r="D394" s="171">
        <v>10</v>
      </c>
      <c r="E394" s="323">
        <v>1452</v>
      </c>
      <c r="F394" s="360">
        <v>1666</v>
      </c>
      <c r="G394" s="226">
        <v>7765</v>
      </c>
      <c r="H394" s="360">
        <v>7787.6</v>
      </c>
      <c r="I394" s="323"/>
      <c r="J394" s="324"/>
      <c r="K394" s="325"/>
      <c r="L394" s="324"/>
      <c r="M394" s="323"/>
      <c r="N394" s="324"/>
      <c r="O394" s="325"/>
      <c r="P394" s="324"/>
      <c r="Q394" s="323"/>
      <c r="R394" s="324"/>
      <c r="S394" s="325"/>
      <c r="T394" s="324"/>
      <c r="U394" s="323"/>
      <c r="V394" s="324"/>
      <c r="W394" s="325"/>
      <c r="X394" s="324"/>
      <c r="Y394" s="323"/>
      <c r="Z394" s="324"/>
      <c r="AA394" s="325"/>
      <c r="AB394" s="324"/>
      <c r="AC394" s="323"/>
      <c r="AD394" s="324"/>
      <c r="AE394" s="325"/>
      <c r="AF394" s="324"/>
      <c r="AG394" s="323"/>
      <c r="AH394" s="324"/>
      <c r="AI394" s="325"/>
      <c r="AJ394" s="324"/>
      <c r="AK394" s="323"/>
      <c r="AL394" s="324"/>
      <c r="AM394" s="325"/>
      <c r="AN394" s="324"/>
    </row>
    <row r="395" spans="1:45">
      <c r="A395" s="169" t="s">
        <v>642</v>
      </c>
      <c r="B395" s="170" t="s">
        <v>454</v>
      </c>
      <c r="C395" s="169">
        <v>198640</v>
      </c>
      <c r="D395" s="171">
        <v>10</v>
      </c>
      <c r="E395" s="323">
        <v>1462</v>
      </c>
      <c r="F395" s="360">
        <v>1718</v>
      </c>
      <c r="G395" s="226">
        <v>7584</v>
      </c>
      <c r="H395" s="360">
        <v>7839.6</v>
      </c>
      <c r="I395" s="323"/>
      <c r="J395" s="324"/>
      <c r="K395" s="325"/>
      <c r="L395" s="324"/>
      <c r="M395" s="323"/>
      <c r="N395" s="324"/>
      <c r="O395" s="325"/>
      <c r="P395" s="324"/>
      <c r="Q395" s="323"/>
      <c r="R395" s="324"/>
      <c r="S395" s="325"/>
      <c r="T395" s="324"/>
      <c r="U395" s="323"/>
      <c r="V395" s="324"/>
      <c r="W395" s="325"/>
      <c r="X395" s="324"/>
      <c r="Y395" s="323"/>
      <c r="Z395" s="324"/>
      <c r="AA395" s="325"/>
      <c r="AB395" s="324"/>
      <c r="AC395" s="323"/>
      <c r="AD395" s="324"/>
      <c r="AE395" s="325"/>
      <c r="AF395" s="324"/>
      <c r="AG395" s="323"/>
      <c r="AH395" s="324"/>
      <c r="AI395" s="325"/>
      <c r="AJ395" s="324"/>
      <c r="AK395" s="323"/>
      <c r="AL395" s="324"/>
      <c r="AM395" s="325"/>
      <c r="AN395" s="324"/>
    </row>
    <row r="396" spans="1:45">
      <c r="A396" s="169" t="s">
        <v>642</v>
      </c>
      <c r="B396" s="170" t="s">
        <v>455</v>
      </c>
      <c r="C396" s="169">
        <v>198729</v>
      </c>
      <c r="D396" s="171">
        <v>10</v>
      </c>
      <c r="E396" s="323">
        <v>1414</v>
      </c>
      <c r="F396" s="360">
        <v>1670</v>
      </c>
      <c r="G396" s="226">
        <v>7606</v>
      </c>
      <c r="H396" s="360">
        <v>7791.6</v>
      </c>
      <c r="I396" s="323"/>
      <c r="J396" s="324"/>
      <c r="K396" s="325"/>
      <c r="L396" s="324"/>
      <c r="M396" s="323"/>
      <c r="N396" s="324"/>
      <c r="O396" s="325"/>
      <c r="P396" s="324"/>
      <c r="Q396" s="323"/>
      <c r="R396" s="324"/>
      <c r="S396" s="325"/>
      <c r="T396" s="324"/>
      <c r="U396" s="323"/>
      <c r="V396" s="324"/>
      <c r="W396" s="325"/>
      <c r="X396" s="324"/>
      <c r="Y396" s="323"/>
      <c r="Z396" s="324"/>
      <c r="AA396" s="325"/>
      <c r="AB396" s="324"/>
      <c r="AC396" s="323"/>
      <c r="AD396" s="324"/>
      <c r="AE396" s="325"/>
      <c r="AF396" s="324"/>
      <c r="AG396" s="323"/>
      <c r="AH396" s="324"/>
      <c r="AI396" s="325"/>
      <c r="AJ396" s="324"/>
      <c r="AK396" s="323"/>
      <c r="AL396" s="324"/>
      <c r="AM396" s="325"/>
      <c r="AN396" s="324"/>
    </row>
    <row r="397" spans="1:45">
      <c r="A397" s="169" t="s">
        <v>642</v>
      </c>
      <c r="B397" s="170" t="s">
        <v>456</v>
      </c>
      <c r="C397" s="169">
        <v>198905</v>
      </c>
      <c r="D397" s="171">
        <v>10</v>
      </c>
      <c r="E397" s="323">
        <v>1386</v>
      </c>
      <c r="F397" s="360">
        <v>1638</v>
      </c>
      <c r="G397" s="226">
        <v>7508</v>
      </c>
      <c r="H397" s="360">
        <v>7759.6</v>
      </c>
      <c r="I397" s="323"/>
      <c r="J397" s="324"/>
      <c r="K397" s="325"/>
      <c r="L397" s="324"/>
      <c r="M397" s="323"/>
      <c r="N397" s="324"/>
      <c r="O397" s="325"/>
      <c r="P397" s="324"/>
      <c r="Q397" s="323"/>
      <c r="R397" s="324"/>
      <c r="S397" s="325"/>
      <c r="T397" s="324"/>
      <c r="U397" s="323"/>
      <c r="V397" s="324"/>
      <c r="W397" s="325"/>
      <c r="X397" s="324"/>
      <c r="Y397" s="323"/>
      <c r="Z397" s="324"/>
      <c r="AA397" s="325"/>
      <c r="AB397" s="324"/>
      <c r="AC397" s="323"/>
      <c r="AD397" s="324"/>
      <c r="AE397" s="325"/>
      <c r="AF397" s="324"/>
      <c r="AG397" s="323"/>
      <c r="AH397" s="324"/>
      <c r="AI397" s="325"/>
      <c r="AJ397" s="324"/>
      <c r="AK397" s="323"/>
      <c r="AL397" s="324"/>
      <c r="AM397" s="325"/>
      <c r="AN397" s="324"/>
    </row>
    <row r="398" spans="1:45">
      <c r="A398" s="169" t="s">
        <v>642</v>
      </c>
      <c r="B398" s="170" t="s">
        <v>304</v>
      </c>
      <c r="C398" s="169">
        <v>198923</v>
      </c>
      <c r="D398" s="171">
        <v>10</v>
      </c>
      <c r="E398" s="323">
        <v>1394</v>
      </c>
      <c r="F398" s="360">
        <v>1668</v>
      </c>
      <c r="G398" s="226">
        <v>7516</v>
      </c>
      <c r="H398" s="360">
        <v>7789.6</v>
      </c>
      <c r="I398" s="323"/>
      <c r="J398" s="324"/>
      <c r="K398" s="325"/>
      <c r="L398" s="324"/>
      <c r="M398" s="323"/>
      <c r="N398" s="324"/>
      <c r="O398" s="325"/>
      <c r="P398" s="324"/>
      <c r="Q398" s="323"/>
      <c r="R398" s="324"/>
      <c r="S398" s="325"/>
      <c r="T398" s="324"/>
      <c r="U398" s="323"/>
      <c r="V398" s="324"/>
      <c r="W398" s="325"/>
      <c r="X398" s="324"/>
      <c r="Y398" s="323"/>
      <c r="Z398" s="324"/>
      <c r="AA398" s="325"/>
      <c r="AB398" s="324"/>
      <c r="AC398" s="323"/>
      <c r="AD398" s="324"/>
      <c r="AE398" s="325"/>
      <c r="AF398" s="324"/>
      <c r="AG398" s="323"/>
      <c r="AH398" s="324"/>
      <c r="AI398" s="325"/>
      <c r="AJ398" s="324"/>
      <c r="AK398" s="323"/>
      <c r="AL398" s="324"/>
      <c r="AM398" s="325"/>
      <c r="AN398" s="324"/>
      <c r="AO398" s="453"/>
      <c r="AP398" s="453"/>
      <c r="AQ398" s="453"/>
      <c r="AR398" s="453"/>
      <c r="AS398" s="453"/>
    </row>
    <row r="399" spans="1:45">
      <c r="A399" s="169" t="s">
        <v>642</v>
      </c>
      <c r="B399" s="170" t="s">
        <v>305</v>
      </c>
      <c r="C399" s="169">
        <v>199023</v>
      </c>
      <c r="D399" s="171">
        <v>10</v>
      </c>
      <c r="E399" s="323">
        <v>1409</v>
      </c>
      <c r="F399" s="360">
        <v>1665</v>
      </c>
      <c r="G399" s="226">
        <v>7531</v>
      </c>
      <c r="H399" s="360">
        <v>7786.6</v>
      </c>
      <c r="I399" s="323"/>
      <c r="J399" s="324"/>
      <c r="K399" s="325"/>
      <c r="L399" s="324"/>
      <c r="M399" s="323"/>
      <c r="N399" s="324"/>
      <c r="O399" s="325"/>
      <c r="P399" s="324"/>
      <c r="Q399" s="323"/>
      <c r="R399" s="324"/>
      <c r="S399" s="325"/>
      <c r="T399" s="324"/>
      <c r="U399" s="323"/>
      <c r="V399" s="324"/>
      <c r="W399" s="325"/>
      <c r="X399" s="324"/>
      <c r="Y399" s="323"/>
      <c r="Z399" s="324"/>
      <c r="AA399" s="325"/>
      <c r="AB399" s="324"/>
      <c r="AC399" s="323"/>
      <c r="AD399" s="324"/>
      <c r="AE399" s="325"/>
      <c r="AF399" s="324"/>
      <c r="AG399" s="323"/>
      <c r="AH399" s="324"/>
      <c r="AI399" s="325"/>
      <c r="AJ399" s="324"/>
      <c r="AK399" s="323"/>
      <c r="AL399" s="324"/>
      <c r="AM399" s="325"/>
      <c r="AN399" s="324"/>
      <c r="AO399" s="453"/>
      <c r="AP399" s="453"/>
      <c r="AQ399" s="453"/>
      <c r="AR399" s="453"/>
      <c r="AS399" s="453"/>
    </row>
    <row r="400" spans="1:45">
      <c r="A400" s="169" t="s">
        <v>642</v>
      </c>
      <c r="B400" s="170" t="s">
        <v>306</v>
      </c>
      <c r="C400" s="169">
        <v>199263</v>
      </c>
      <c r="D400" s="171">
        <v>10</v>
      </c>
      <c r="E400" s="323">
        <v>1379</v>
      </c>
      <c r="F400" s="360">
        <v>1635</v>
      </c>
      <c r="G400" s="226">
        <v>7501</v>
      </c>
      <c r="H400" s="360">
        <v>7756.6</v>
      </c>
      <c r="I400" s="323"/>
      <c r="J400" s="324"/>
      <c r="K400" s="325"/>
      <c r="L400" s="324"/>
      <c r="M400" s="323"/>
      <c r="N400" s="324"/>
      <c r="O400" s="325"/>
      <c r="P400" s="324"/>
      <c r="Q400" s="323"/>
      <c r="R400" s="324"/>
      <c r="S400" s="325"/>
      <c r="T400" s="324"/>
      <c r="U400" s="323"/>
      <c r="V400" s="324"/>
      <c r="W400" s="325"/>
      <c r="X400" s="324"/>
      <c r="Y400" s="323"/>
      <c r="Z400" s="324"/>
      <c r="AA400" s="325"/>
      <c r="AB400" s="324"/>
      <c r="AC400" s="323"/>
      <c r="AD400" s="324"/>
      <c r="AE400" s="325"/>
      <c r="AF400" s="324"/>
      <c r="AG400" s="323"/>
      <c r="AH400" s="324"/>
      <c r="AI400" s="325"/>
      <c r="AJ400" s="324"/>
      <c r="AK400" s="323"/>
      <c r="AL400" s="324"/>
      <c r="AM400" s="325"/>
      <c r="AN400" s="324"/>
    </row>
    <row r="401" spans="1:40">
      <c r="A401" s="169" t="s">
        <v>642</v>
      </c>
      <c r="B401" s="170" t="s">
        <v>307</v>
      </c>
      <c r="C401" s="169">
        <v>199467</v>
      </c>
      <c r="D401" s="171">
        <v>10</v>
      </c>
      <c r="E401" s="323">
        <v>1465</v>
      </c>
      <c r="F401" s="360">
        <v>1701</v>
      </c>
      <c r="G401" s="226">
        <v>7550</v>
      </c>
      <c r="H401" s="360">
        <v>7822.6</v>
      </c>
      <c r="I401" s="323"/>
      <c r="J401" s="324"/>
      <c r="K401" s="325"/>
      <c r="L401" s="324"/>
      <c r="M401" s="323"/>
      <c r="N401" s="324"/>
      <c r="O401" s="325"/>
      <c r="P401" s="324"/>
      <c r="Q401" s="323"/>
      <c r="R401" s="324"/>
      <c r="S401" s="325"/>
      <c r="T401" s="324"/>
      <c r="U401" s="323"/>
      <c r="V401" s="324"/>
      <c r="W401" s="325"/>
      <c r="X401" s="324"/>
      <c r="Y401" s="323"/>
      <c r="Z401" s="324"/>
      <c r="AA401" s="325"/>
      <c r="AB401" s="324"/>
      <c r="AC401" s="323"/>
      <c r="AD401" s="324"/>
      <c r="AE401" s="325"/>
      <c r="AF401" s="324"/>
      <c r="AG401" s="323"/>
      <c r="AH401" s="324"/>
      <c r="AI401" s="325"/>
      <c r="AJ401" s="324"/>
      <c r="AK401" s="323"/>
      <c r="AL401" s="324"/>
      <c r="AM401" s="325"/>
      <c r="AN401" s="324"/>
    </row>
    <row r="402" spans="1:40">
      <c r="A402" s="169" t="s">
        <v>642</v>
      </c>
      <c r="B402" s="172" t="s">
        <v>308</v>
      </c>
      <c r="C402" s="169">
        <v>199625</v>
      </c>
      <c r="D402" s="171">
        <v>10</v>
      </c>
      <c r="E402" s="323">
        <v>1421</v>
      </c>
      <c r="F402" s="360">
        <v>1676</v>
      </c>
      <c r="G402" s="226">
        <v>7542</v>
      </c>
      <c r="H402" s="360">
        <v>7797.6</v>
      </c>
      <c r="I402" s="323"/>
      <c r="J402" s="324"/>
      <c r="K402" s="325"/>
      <c r="L402" s="324"/>
      <c r="M402" s="323"/>
      <c r="N402" s="324"/>
      <c r="O402" s="325"/>
      <c r="P402" s="324"/>
      <c r="Q402" s="323"/>
      <c r="R402" s="324"/>
      <c r="S402" s="325"/>
      <c r="T402" s="324"/>
      <c r="U402" s="323"/>
      <c r="V402" s="324"/>
      <c r="W402" s="325"/>
      <c r="X402" s="324"/>
      <c r="Y402" s="323"/>
      <c r="Z402" s="324"/>
      <c r="AA402" s="325"/>
      <c r="AB402" s="324"/>
      <c r="AC402" s="323"/>
      <c r="AD402" s="324"/>
      <c r="AE402" s="325"/>
      <c r="AF402" s="324"/>
      <c r="AG402" s="323"/>
      <c r="AH402" s="324"/>
      <c r="AI402" s="325"/>
      <c r="AJ402" s="324"/>
      <c r="AK402" s="323"/>
      <c r="AL402" s="324"/>
      <c r="AM402" s="325"/>
      <c r="AN402" s="324"/>
    </row>
    <row r="403" spans="1:40">
      <c r="A403" s="169" t="s">
        <v>642</v>
      </c>
      <c r="B403" s="170" t="s">
        <v>309</v>
      </c>
      <c r="C403" s="169">
        <v>199795</v>
      </c>
      <c r="D403" s="171">
        <v>10</v>
      </c>
      <c r="E403" s="323">
        <v>1403</v>
      </c>
      <c r="F403" s="360">
        <v>1659</v>
      </c>
      <c r="G403" s="226">
        <v>7524</v>
      </c>
      <c r="H403" s="360">
        <v>7780.6</v>
      </c>
      <c r="I403" s="323"/>
      <c r="J403" s="324"/>
      <c r="K403" s="325"/>
      <c r="L403" s="324"/>
      <c r="M403" s="323"/>
      <c r="N403" s="324"/>
      <c r="O403" s="325"/>
      <c r="P403" s="324"/>
      <c r="Q403" s="323"/>
      <c r="R403" s="324"/>
      <c r="S403" s="325"/>
      <c r="T403" s="324"/>
      <c r="U403" s="323"/>
      <c r="V403" s="324"/>
      <c r="W403" s="325"/>
      <c r="X403" s="324"/>
      <c r="Y403" s="323"/>
      <c r="Z403" s="324"/>
      <c r="AA403" s="325"/>
      <c r="AB403" s="324"/>
      <c r="AC403" s="323"/>
      <c r="AD403" s="324"/>
      <c r="AE403" s="325"/>
      <c r="AF403" s="324"/>
      <c r="AG403" s="323"/>
      <c r="AH403" s="324"/>
      <c r="AI403" s="325"/>
      <c r="AJ403" s="324"/>
      <c r="AK403" s="323"/>
      <c r="AL403" s="324"/>
      <c r="AM403" s="325"/>
      <c r="AN403" s="324"/>
    </row>
    <row r="404" spans="1:40">
      <c r="A404" s="135" t="s">
        <v>214</v>
      </c>
      <c r="B404" s="140" t="s">
        <v>230</v>
      </c>
      <c r="C404" s="135">
        <v>207388</v>
      </c>
      <c r="D404" s="137">
        <v>1</v>
      </c>
      <c r="E404" s="323">
        <v>6201</v>
      </c>
      <c r="F404" s="324">
        <v>6201</v>
      </c>
      <c r="G404" s="325">
        <f>30*551.85</f>
        <v>16555.5</v>
      </c>
      <c r="H404" s="324">
        <v>16556</v>
      </c>
      <c r="I404" s="323">
        <f>24*228.7</f>
        <v>5488.7999999999993</v>
      </c>
      <c r="J404" s="324">
        <v>5489</v>
      </c>
      <c r="K404" s="325">
        <f>24*675.85</f>
        <v>16220.400000000001</v>
      </c>
      <c r="L404" s="324">
        <v>16220</v>
      </c>
      <c r="M404" s="323"/>
      <c r="N404" s="324"/>
      <c r="O404" s="325"/>
      <c r="P404" s="324"/>
      <c r="Q404" s="323"/>
      <c r="R404" s="324"/>
      <c r="S404" s="325"/>
      <c r="T404" s="324"/>
      <c r="U404" s="323"/>
      <c r="V404" s="324"/>
      <c r="W404" s="325"/>
      <c r="X404" s="324"/>
      <c r="Y404" s="323"/>
      <c r="Z404" s="324"/>
      <c r="AA404" s="325"/>
      <c r="AB404" s="324"/>
      <c r="AC404" s="323"/>
      <c r="AD404" s="324"/>
      <c r="AE404" s="325"/>
      <c r="AF404" s="324"/>
      <c r="AG404" s="323">
        <v>19290.650000000001</v>
      </c>
      <c r="AH404" s="324">
        <v>19291</v>
      </c>
      <c r="AI404" s="325">
        <v>37212.5</v>
      </c>
      <c r="AJ404" s="324">
        <v>37213</v>
      </c>
      <c r="AK404" s="323">
        <v>14294.86</v>
      </c>
      <c r="AL404" s="324">
        <v>14295</v>
      </c>
      <c r="AM404" s="325">
        <v>31570.16</v>
      </c>
      <c r="AN404" s="324">
        <v>31570</v>
      </c>
    </row>
    <row r="405" spans="1:40">
      <c r="A405" s="135" t="s">
        <v>214</v>
      </c>
      <c r="B405" s="140" t="s">
        <v>231</v>
      </c>
      <c r="C405" s="135" t="s">
        <v>232</v>
      </c>
      <c r="D405" s="137">
        <v>1</v>
      </c>
      <c r="E405" s="323">
        <v>6492.9000000000005</v>
      </c>
      <c r="F405" s="324">
        <v>6493</v>
      </c>
      <c r="G405" s="325">
        <f>30*549.13</f>
        <v>16473.900000000001</v>
      </c>
      <c r="H405" s="324">
        <v>16474</v>
      </c>
      <c r="I405" s="323">
        <f>24*256.64</f>
        <v>6159.36</v>
      </c>
      <c r="J405" s="324">
        <v>6159</v>
      </c>
      <c r="K405" s="325">
        <f>24*666.34</f>
        <v>15992.16</v>
      </c>
      <c r="L405" s="324">
        <v>15992</v>
      </c>
      <c r="M405" s="323">
        <v>15836</v>
      </c>
      <c r="N405" s="324">
        <v>15986</v>
      </c>
      <c r="O405" s="325">
        <v>25764.5</v>
      </c>
      <c r="P405" s="324">
        <v>25914.5</v>
      </c>
      <c r="Q405" s="323">
        <v>20647.5</v>
      </c>
      <c r="R405" s="324">
        <v>20648</v>
      </c>
      <c r="S405" s="325">
        <v>44765.5</v>
      </c>
      <c r="T405" s="324">
        <v>44766</v>
      </c>
      <c r="U405" s="323">
        <v>18830.5</v>
      </c>
      <c r="V405" s="324">
        <v>18831</v>
      </c>
      <c r="W405" s="325">
        <v>41272.5</v>
      </c>
      <c r="X405" s="324">
        <v>41272.5</v>
      </c>
      <c r="Y405" s="323">
        <v>14092.7</v>
      </c>
      <c r="Z405" s="324">
        <v>14093</v>
      </c>
      <c r="AA405" s="325">
        <v>28774.7</v>
      </c>
      <c r="AB405" s="324">
        <v>28775</v>
      </c>
      <c r="AC405" s="323"/>
      <c r="AD405" s="324"/>
      <c r="AE405" s="325"/>
      <c r="AF405" s="324"/>
      <c r="AG405" s="323"/>
      <c r="AH405" s="324"/>
      <c r="AI405" s="325"/>
      <c r="AJ405" s="324"/>
      <c r="AK405" s="323"/>
      <c r="AL405" s="324"/>
      <c r="AM405" s="325"/>
      <c r="AN405" s="324"/>
    </row>
    <row r="406" spans="1:40">
      <c r="A406" s="135" t="s">
        <v>214</v>
      </c>
      <c r="B406" s="155" t="s">
        <v>233</v>
      </c>
      <c r="C406" s="156">
        <v>207263</v>
      </c>
      <c r="D406" s="139">
        <v>3</v>
      </c>
      <c r="E406" s="323">
        <v>4155</v>
      </c>
      <c r="F406" s="324">
        <v>4155</v>
      </c>
      <c r="G406" s="325">
        <f>30*341.5</f>
        <v>10245</v>
      </c>
      <c r="H406" s="324">
        <v>10245</v>
      </c>
      <c r="I406" s="323">
        <f>24*169.55</f>
        <v>4069.2000000000003</v>
      </c>
      <c r="J406" s="324">
        <v>4069</v>
      </c>
      <c r="K406" s="325">
        <f>24*399.55</f>
        <v>9589.2000000000007</v>
      </c>
      <c r="L406" s="324">
        <v>9589</v>
      </c>
      <c r="M406" s="323"/>
      <c r="N406" s="324"/>
      <c r="O406" s="325"/>
      <c r="P406" s="324"/>
      <c r="Q406" s="323"/>
      <c r="R406" s="324"/>
      <c r="S406" s="325"/>
      <c r="T406" s="324"/>
      <c r="U406" s="323"/>
      <c r="V406" s="324"/>
      <c r="W406" s="325"/>
      <c r="X406" s="324"/>
      <c r="Y406" s="323"/>
      <c r="Z406" s="324"/>
      <c r="AA406" s="325"/>
      <c r="AB406" s="324"/>
      <c r="AC406" s="323">
        <v>12882</v>
      </c>
      <c r="AD406" s="324">
        <v>12882</v>
      </c>
      <c r="AE406" s="325">
        <v>24982</v>
      </c>
      <c r="AF406" s="324">
        <v>24982</v>
      </c>
      <c r="AG406" s="323"/>
      <c r="AH406" s="324"/>
      <c r="AI406" s="325"/>
      <c r="AJ406" s="324"/>
      <c r="AK406" s="323"/>
      <c r="AL406" s="324"/>
      <c r="AM406" s="325"/>
      <c r="AN406" s="324"/>
    </row>
    <row r="407" spans="1:40">
      <c r="A407" s="135" t="s">
        <v>214</v>
      </c>
      <c r="B407" s="140" t="s">
        <v>234</v>
      </c>
      <c r="C407" s="135">
        <v>206941</v>
      </c>
      <c r="D407" s="137">
        <v>3</v>
      </c>
      <c r="E407" s="323">
        <v>4222.5</v>
      </c>
      <c r="F407" s="324">
        <v>4223</v>
      </c>
      <c r="G407" s="325">
        <f>30*355.05</f>
        <v>10651.5</v>
      </c>
      <c r="H407" s="324">
        <v>10652</v>
      </c>
      <c r="I407" s="323">
        <f>24*180.2</f>
        <v>4324.7999999999993</v>
      </c>
      <c r="J407" s="324">
        <v>4325</v>
      </c>
      <c r="K407" s="325">
        <f>24*426.9</f>
        <v>10245.599999999999</v>
      </c>
      <c r="L407" s="324">
        <v>10246</v>
      </c>
      <c r="M407" s="323"/>
      <c r="N407" s="324"/>
      <c r="O407" s="325"/>
      <c r="P407" s="324"/>
      <c r="Q407" s="323"/>
      <c r="R407" s="324"/>
      <c r="S407" s="325"/>
      <c r="T407" s="324"/>
      <c r="U407" s="323"/>
      <c r="V407" s="324"/>
      <c r="W407" s="325"/>
      <c r="X407" s="324"/>
      <c r="Y407" s="323"/>
      <c r="Z407" s="324"/>
      <c r="AA407" s="325"/>
      <c r="AB407" s="324"/>
      <c r="AC407" s="323"/>
      <c r="AD407" s="324"/>
      <c r="AE407" s="325"/>
      <c r="AF407" s="324"/>
      <c r="AG407" s="323"/>
      <c r="AH407" s="324"/>
      <c r="AI407" s="325"/>
      <c r="AJ407" s="324"/>
      <c r="AK407" s="323"/>
      <c r="AL407" s="324"/>
      <c r="AM407" s="325"/>
      <c r="AN407" s="324"/>
    </row>
    <row r="408" spans="1:40">
      <c r="A408" s="135" t="s">
        <v>214</v>
      </c>
      <c r="B408" s="140" t="s">
        <v>235</v>
      </c>
      <c r="C408" s="135">
        <v>206914</v>
      </c>
      <c r="D408" s="137">
        <v>5</v>
      </c>
      <c r="E408" s="323">
        <v>4110</v>
      </c>
      <c r="F408" s="324">
        <v>4110</v>
      </c>
      <c r="G408" s="325">
        <f>30*332.5</f>
        <v>9975</v>
      </c>
      <c r="H408" s="324">
        <v>9975</v>
      </c>
      <c r="I408" s="323">
        <f>24*164.8</f>
        <v>3955.2000000000003</v>
      </c>
      <c r="J408" s="324">
        <v>3955</v>
      </c>
      <c r="K408" s="325">
        <f>24*399.5</f>
        <v>9588</v>
      </c>
      <c r="L408" s="324">
        <v>9588</v>
      </c>
      <c r="M408" s="323"/>
      <c r="N408" s="324"/>
      <c r="O408" s="325"/>
      <c r="P408" s="324"/>
      <c r="Q408" s="323"/>
      <c r="R408" s="324"/>
      <c r="S408" s="325"/>
      <c r="T408" s="324"/>
      <c r="U408" s="323"/>
      <c r="V408" s="324"/>
      <c r="W408" s="325"/>
      <c r="X408" s="324"/>
      <c r="Y408" s="323"/>
      <c r="Z408" s="324"/>
      <c r="AA408" s="325"/>
      <c r="AB408" s="324"/>
      <c r="AC408" s="323"/>
      <c r="AD408" s="324"/>
      <c r="AE408" s="325"/>
      <c r="AF408" s="324"/>
      <c r="AG408" s="323"/>
      <c r="AH408" s="324"/>
      <c r="AI408" s="325"/>
      <c r="AJ408" s="324"/>
      <c r="AK408" s="323"/>
      <c r="AL408" s="324"/>
      <c r="AM408" s="325"/>
      <c r="AN408" s="324"/>
    </row>
    <row r="409" spans="1:40">
      <c r="A409" s="135" t="s">
        <v>214</v>
      </c>
      <c r="B409" s="140" t="s">
        <v>236</v>
      </c>
      <c r="C409" s="135">
        <v>207041</v>
      </c>
      <c r="D409" s="137">
        <v>5</v>
      </c>
      <c r="E409" s="323">
        <v>4221</v>
      </c>
      <c r="F409" s="324">
        <v>4221</v>
      </c>
      <c r="G409" s="325">
        <f>30*341.2</f>
        <v>10236</v>
      </c>
      <c r="H409" s="324">
        <v>10236</v>
      </c>
      <c r="I409" s="323">
        <f>24*171.18</f>
        <v>4108.32</v>
      </c>
      <c r="J409" s="324">
        <v>4108</v>
      </c>
      <c r="K409" s="325">
        <f>24*411.18</f>
        <v>9868.32</v>
      </c>
      <c r="L409" s="324">
        <v>9868</v>
      </c>
      <c r="M409" s="323"/>
      <c r="N409" s="324"/>
      <c r="O409" s="325"/>
      <c r="P409" s="324"/>
      <c r="Q409" s="323"/>
      <c r="R409" s="324"/>
      <c r="S409" s="325"/>
      <c r="T409" s="324"/>
      <c r="U409" s="323"/>
      <c r="V409" s="324"/>
      <c r="W409" s="325"/>
      <c r="X409" s="324"/>
      <c r="Y409" s="323"/>
      <c r="Z409" s="324"/>
      <c r="AA409" s="325"/>
      <c r="AB409" s="324"/>
      <c r="AC409" s="323"/>
      <c r="AD409" s="324"/>
      <c r="AE409" s="325"/>
      <c r="AF409" s="324"/>
      <c r="AG409" s="323"/>
      <c r="AH409" s="324"/>
      <c r="AI409" s="325"/>
      <c r="AJ409" s="324"/>
      <c r="AK409" s="323"/>
      <c r="AL409" s="324"/>
      <c r="AM409" s="325"/>
      <c r="AN409" s="324"/>
    </row>
    <row r="410" spans="1:40">
      <c r="A410" s="135" t="s">
        <v>214</v>
      </c>
      <c r="B410" s="155" t="s">
        <v>237</v>
      </c>
      <c r="C410" s="135">
        <v>207209</v>
      </c>
      <c r="D410" s="137">
        <v>5</v>
      </c>
      <c r="E410" s="323">
        <v>3826.5</v>
      </c>
      <c r="F410" s="324">
        <v>3827</v>
      </c>
      <c r="G410" s="325">
        <f>30*313.55</f>
        <v>9406.5</v>
      </c>
      <c r="H410" s="324">
        <v>9407</v>
      </c>
      <c r="I410" s="323">
        <f>24*155.43</f>
        <v>3730.32</v>
      </c>
      <c r="J410" s="324">
        <v>3730</v>
      </c>
      <c r="K410" s="325">
        <f>24*369.53</f>
        <v>8868.7199999999993</v>
      </c>
      <c r="L410" s="324">
        <v>8869</v>
      </c>
      <c r="M410" s="323"/>
      <c r="N410" s="324"/>
      <c r="O410" s="325"/>
      <c r="P410" s="324"/>
      <c r="Q410" s="323"/>
      <c r="R410" s="324"/>
      <c r="S410" s="325"/>
      <c r="T410" s="324"/>
      <c r="U410" s="323"/>
      <c r="V410" s="324"/>
      <c r="W410" s="325"/>
      <c r="X410" s="324"/>
      <c r="Y410" s="323"/>
      <c r="Z410" s="324"/>
      <c r="AA410" s="325"/>
      <c r="AB410" s="324"/>
      <c r="AC410" s="323"/>
      <c r="AD410" s="324"/>
      <c r="AE410" s="325"/>
      <c r="AF410" s="324"/>
      <c r="AG410" s="323"/>
      <c r="AH410" s="324"/>
      <c r="AI410" s="325"/>
      <c r="AJ410" s="324"/>
      <c r="AK410" s="323"/>
      <c r="AL410" s="324"/>
      <c r="AM410" s="325"/>
      <c r="AN410" s="324"/>
    </row>
    <row r="411" spans="1:40">
      <c r="A411" s="135" t="s">
        <v>214</v>
      </c>
      <c r="B411" s="140" t="s">
        <v>238</v>
      </c>
      <c r="C411" s="135">
        <v>207306</v>
      </c>
      <c r="D411" s="137">
        <v>5</v>
      </c>
      <c r="E411" s="323">
        <v>4110</v>
      </c>
      <c r="F411" s="324">
        <v>4110</v>
      </c>
      <c r="G411" s="325">
        <f>30*338</f>
        <v>10140</v>
      </c>
      <c r="H411" s="324">
        <v>10140</v>
      </c>
      <c r="I411" s="323">
        <f>24*166.5</f>
        <v>3996</v>
      </c>
      <c r="J411" s="324">
        <v>3996</v>
      </c>
      <c r="K411" s="325">
        <f>24*405</f>
        <v>9720</v>
      </c>
      <c r="L411" s="324">
        <v>9720</v>
      </c>
      <c r="M411" s="323"/>
      <c r="N411" s="324"/>
      <c r="O411" s="325"/>
      <c r="P411" s="324"/>
      <c r="Q411" s="323"/>
      <c r="R411" s="324"/>
      <c r="S411" s="325"/>
      <c r="T411" s="324"/>
      <c r="U411" s="323"/>
      <c r="V411" s="324"/>
      <c r="W411" s="325"/>
      <c r="X411" s="324"/>
      <c r="Y411" s="323"/>
      <c r="Z411" s="324"/>
      <c r="AA411" s="325"/>
      <c r="AB411" s="324"/>
      <c r="AC411" s="323"/>
      <c r="AD411" s="324"/>
      <c r="AE411" s="325"/>
      <c r="AF411" s="324"/>
      <c r="AG411" s="323"/>
      <c r="AH411" s="324"/>
      <c r="AI411" s="325"/>
      <c r="AJ411" s="324"/>
      <c r="AK411" s="323"/>
      <c r="AL411" s="324"/>
      <c r="AM411" s="325"/>
      <c r="AN411" s="324"/>
    </row>
    <row r="412" spans="1:40">
      <c r="A412" s="135" t="s">
        <v>214</v>
      </c>
      <c r="B412" s="140" t="s">
        <v>239</v>
      </c>
      <c r="C412" s="135">
        <v>207847</v>
      </c>
      <c r="D412" s="137">
        <v>5</v>
      </c>
      <c r="E412" s="323">
        <v>4315.5</v>
      </c>
      <c r="F412" s="324">
        <v>4316</v>
      </c>
      <c r="G412" s="325">
        <f>30*356.2</f>
        <v>10686</v>
      </c>
      <c r="H412" s="324">
        <v>10686</v>
      </c>
      <c r="I412" s="323">
        <f>24*176.45</f>
        <v>4234.7999999999993</v>
      </c>
      <c r="J412" s="324">
        <v>4235</v>
      </c>
      <c r="K412" s="325">
        <f>24*428.5</f>
        <v>10284</v>
      </c>
      <c r="L412" s="324">
        <v>10284</v>
      </c>
      <c r="M412" s="323"/>
      <c r="N412" s="324"/>
      <c r="O412" s="325"/>
      <c r="P412" s="324"/>
      <c r="Q412" s="323"/>
      <c r="R412" s="324"/>
      <c r="S412" s="325"/>
      <c r="T412" s="324"/>
      <c r="U412" s="323"/>
      <c r="V412" s="324"/>
      <c r="W412" s="325"/>
      <c r="X412" s="324"/>
      <c r="Y412" s="323"/>
      <c r="Z412" s="324"/>
      <c r="AA412" s="325"/>
      <c r="AB412" s="324"/>
      <c r="AC412" s="323"/>
      <c r="AD412" s="324"/>
      <c r="AE412" s="325"/>
      <c r="AF412" s="324"/>
      <c r="AG412" s="323"/>
      <c r="AH412" s="324"/>
      <c r="AI412" s="325"/>
      <c r="AJ412" s="324"/>
      <c r="AK412" s="323"/>
      <c r="AL412" s="324"/>
      <c r="AM412" s="325"/>
      <c r="AN412" s="324"/>
    </row>
    <row r="413" spans="1:40">
      <c r="A413" s="135" t="s">
        <v>214</v>
      </c>
      <c r="B413" s="140" t="s">
        <v>240</v>
      </c>
      <c r="C413" s="135">
        <v>207865</v>
      </c>
      <c r="D413" s="137">
        <v>5</v>
      </c>
      <c r="E413" s="323">
        <v>4110</v>
      </c>
      <c r="F413" s="324">
        <v>4110</v>
      </c>
      <c r="G413" s="325">
        <f>30*315</f>
        <v>9450</v>
      </c>
      <c r="H413" s="324">
        <v>9450</v>
      </c>
      <c r="I413" s="323">
        <f>24*162</f>
        <v>3888</v>
      </c>
      <c r="J413" s="324">
        <v>3888</v>
      </c>
      <c r="K413" s="325">
        <f>24*380</f>
        <v>9120</v>
      </c>
      <c r="L413" s="324">
        <v>9120</v>
      </c>
      <c r="M413" s="323"/>
      <c r="N413" s="324"/>
      <c r="O413" s="325"/>
      <c r="P413" s="324"/>
      <c r="Q413" s="323"/>
      <c r="R413" s="324"/>
      <c r="S413" s="325"/>
      <c r="T413" s="324"/>
      <c r="U413" s="323"/>
      <c r="V413" s="324"/>
      <c r="W413" s="325"/>
      <c r="X413" s="324"/>
      <c r="Y413" s="323">
        <v>10400</v>
      </c>
      <c r="Z413" s="324">
        <v>10400</v>
      </c>
      <c r="AA413" s="325">
        <v>20800</v>
      </c>
      <c r="AB413" s="324">
        <v>20800</v>
      </c>
      <c r="AC413" s="323"/>
      <c r="AD413" s="324"/>
      <c r="AE413" s="325"/>
      <c r="AF413" s="324"/>
      <c r="AG413" s="323"/>
      <c r="AH413" s="324"/>
      <c r="AI413" s="325"/>
      <c r="AJ413" s="324"/>
      <c r="AK413" s="323"/>
      <c r="AL413" s="324"/>
      <c r="AM413" s="325"/>
      <c r="AN413" s="324"/>
    </row>
    <row r="414" spans="1:40">
      <c r="A414" s="135" t="s">
        <v>214</v>
      </c>
      <c r="B414" s="140" t="s">
        <v>241</v>
      </c>
      <c r="C414" s="135">
        <v>207351</v>
      </c>
      <c r="D414" s="137">
        <v>6</v>
      </c>
      <c r="E414" s="323">
        <v>4201.5</v>
      </c>
      <c r="F414" s="324">
        <v>4202</v>
      </c>
      <c r="G414" s="325">
        <f>30*318.05</f>
        <v>9541.5</v>
      </c>
      <c r="H414" s="324">
        <v>9542</v>
      </c>
      <c r="I414" s="323"/>
      <c r="J414" s="324"/>
      <c r="K414" s="325"/>
      <c r="L414" s="324"/>
      <c r="M414" s="323"/>
      <c r="N414" s="324"/>
      <c r="O414" s="325"/>
      <c r="P414" s="324"/>
      <c r="Q414" s="323"/>
      <c r="R414" s="324"/>
      <c r="S414" s="325"/>
      <c r="T414" s="324"/>
      <c r="U414" s="323"/>
      <c r="V414" s="324"/>
      <c r="W414" s="325"/>
      <c r="X414" s="324"/>
      <c r="Y414" s="323"/>
      <c r="Z414" s="324"/>
      <c r="AA414" s="325"/>
      <c r="AB414" s="324"/>
      <c r="AC414" s="323"/>
      <c r="AD414" s="324"/>
      <c r="AE414" s="325"/>
      <c r="AF414" s="324"/>
      <c r="AG414" s="323"/>
      <c r="AH414" s="324"/>
      <c r="AI414" s="325"/>
      <c r="AJ414" s="324"/>
      <c r="AK414" s="323"/>
      <c r="AL414" s="324"/>
      <c r="AM414" s="325"/>
      <c r="AN414" s="324"/>
    </row>
    <row r="415" spans="1:40">
      <c r="A415" s="135" t="s">
        <v>214</v>
      </c>
      <c r="B415" s="159" t="s">
        <v>243</v>
      </c>
      <c r="C415" s="160">
        <v>207661</v>
      </c>
      <c r="D415" s="158">
        <v>6</v>
      </c>
      <c r="E415" s="323">
        <v>4276.5</v>
      </c>
      <c r="F415" s="324">
        <v>4277</v>
      </c>
      <c r="G415" s="325">
        <f>30*324.45</f>
        <v>9733.5</v>
      </c>
      <c r="H415" s="324">
        <v>9734</v>
      </c>
      <c r="I415" s="323"/>
      <c r="J415" s="324"/>
      <c r="K415" s="325"/>
      <c r="L415" s="324"/>
      <c r="M415" s="323"/>
      <c r="N415" s="324"/>
      <c r="O415" s="325"/>
      <c r="P415" s="324"/>
      <c r="Q415" s="323"/>
      <c r="R415" s="324"/>
      <c r="S415" s="325"/>
      <c r="T415" s="324"/>
      <c r="U415" s="323"/>
      <c r="V415" s="324"/>
      <c r="W415" s="325"/>
      <c r="X415" s="324"/>
      <c r="Y415" s="323"/>
      <c r="Z415" s="324"/>
      <c r="AA415" s="325"/>
      <c r="AB415" s="324"/>
      <c r="AC415" s="323"/>
      <c r="AD415" s="324"/>
      <c r="AE415" s="325"/>
      <c r="AF415" s="324"/>
      <c r="AG415" s="323"/>
      <c r="AH415" s="324"/>
      <c r="AI415" s="325"/>
      <c r="AJ415" s="324"/>
      <c r="AK415" s="323"/>
      <c r="AL415" s="324"/>
      <c r="AM415" s="325"/>
      <c r="AN415" s="324"/>
    </row>
    <row r="416" spans="1:40">
      <c r="A416" s="135" t="s">
        <v>214</v>
      </c>
      <c r="B416" s="140" t="s">
        <v>242</v>
      </c>
      <c r="C416" s="135">
        <v>207722</v>
      </c>
      <c r="D416" s="137">
        <v>6</v>
      </c>
      <c r="E416" s="323">
        <v>4440</v>
      </c>
      <c r="F416" s="324">
        <v>4440</v>
      </c>
      <c r="G416" s="325">
        <f>30*352</f>
        <v>10560</v>
      </c>
      <c r="H416" s="324">
        <v>10560</v>
      </c>
      <c r="I416" s="323"/>
      <c r="J416" s="324"/>
      <c r="K416" s="325"/>
      <c r="L416" s="324"/>
      <c r="M416" s="323"/>
      <c r="N416" s="324"/>
      <c r="O416" s="325"/>
      <c r="P416" s="324"/>
      <c r="Q416" s="323"/>
      <c r="R416" s="324"/>
      <c r="S416" s="325"/>
      <c r="T416" s="324"/>
      <c r="U416" s="323"/>
      <c r="V416" s="324"/>
      <c r="W416" s="325"/>
      <c r="X416" s="324"/>
      <c r="Y416" s="323"/>
      <c r="Z416" s="324"/>
      <c r="AA416" s="325"/>
      <c r="AB416" s="324"/>
      <c r="AC416" s="323"/>
      <c r="AD416" s="324"/>
      <c r="AE416" s="325"/>
      <c r="AF416" s="324"/>
      <c r="AG416" s="323"/>
      <c r="AH416" s="324"/>
      <c r="AI416" s="325"/>
      <c r="AJ416" s="324"/>
      <c r="AK416" s="323"/>
      <c r="AL416" s="324"/>
      <c r="AM416" s="325"/>
      <c r="AN416" s="324"/>
    </row>
    <row r="417" spans="1:40">
      <c r="A417" s="135" t="s">
        <v>214</v>
      </c>
      <c r="B417" s="232" t="s">
        <v>247</v>
      </c>
      <c r="C417" s="160">
        <v>207564</v>
      </c>
      <c r="D417" s="346">
        <v>7</v>
      </c>
      <c r="E417" s="323">
        <v>3832.5</v>
      </c>
      <c r="F417" s="324">
        <v>3833</v>
      </c>
      <c r="G417" s="325">
        <f>30*304.75</f>
        <v>9142.5</v>
      </c>
      <c r="H417" s="324">
        <v>9143</v>
      </c>
      <c r="I417" s="323"/>
      <c r="J417" s="324"/>
      <c r="K417" s="325"/>
      <c r="L417" s="324"/>
      <c r="M417" s="323"/>
      <c r="N417" s="324"/>
      <c r="O417" s="325"/>
      <c r="P417" s="324"/>
      <c r="Q417" s="323"/>
      <c r="R417" s="324"/>
      <c r="S417" s="325"/>
      <c r="T417" s="324"/>
      <c r="U417" s="323"/>
      <c r="V417" s="324"/>
      <c r="W417" s="325"/>
      <c r="X417" s="324"/>
      <c r="Y417" s="323"/>
      <c r="Z417" s="324"/>
      <c r="AA417" s="325"/>
      <c r="AB417" s="324"/>
      <c r="AC417" s="323"/>
      <c r="AD417" s="324"/>
      <c r="AE417" s="325"/>
      <c r="AF417" s="324"/>
      <c r="AG417" s="323"/>
      <c r="AH417" s="324"/>
      <c r="AI417" s="325"/>
      <c r="AJ417" s="324"/>
      <c r="AK417" s="323"/>
      <c r="AL417" s="324"/>
      <c r="AM417" s="325"/>
      <c r="AN417" s="324"/>
    </row>
    <row r="418" spans="1:40">
      <c r="A418" s="135" t="s">
        <v>214</v>
      </c>
      <c r="B418" s="232" t="s">
        <v>244</v>
      </c>
      <c r="C418" s="135">
        <v>207449</v>
      </c>
      <c r="D418" s="137">
        <v>8</v>
      </c>
      <c r="E418" s="323">
        <v>2520</v>
      </c>
      <c r="F418" s="324">
        <v>2520</v>
      </c>
      <c r="G418" s="325">
        <f>30*224</f>
        <v>6720</v>
      </c>
      <c r="H418" s="324">
        <v>6720</v>
      </c>
      <c r="I418" s="323"/>
      <c r="J418" s="324"/>
      <c r="K418" s="325"/>
      <c r="L418" s="324"/>
      <c r="M418" s="323"/>
      <c r="N418" s="324"/>
      <c r="O418" s="325"/>
      <c r="P418" s="324"/>
      <c r="Q418" s="323"/>
      <c r="R418" s="324"/>
      <c r="S418" s="325"/>
      <c r="T418" s="324"/>
      <c r="U418" s="323"/>
      <c r="V418" s="324"/>
      <c r="W418" s="325"/>
      <c r="X418" s="324"/>
      <c r="Y418" s="323"/>
      <c r="Z418" s="324"/>
      <c r="AA418" s="325"/>
      <c r="AB418" s="324"/>
      <c r="AC418" s="323"/>
      <c r="AD418" s="324"/>
      <c r="AE418" s="325"/>
      <c r="AF418" s="324"/>
      <c r="AG418" s="323"/>
      <c r="AH418" s="324"/>
      <c r="AI418" s="325"/>
      <c r="AJ418" s="324"/>
      <c r="AK418" s="323"/>
      <c r="AL418" s="324"/>
      <c r="AM418" s="325"/>
      <c r="AN418" s="324"/>
    </row>
    <row r="419" spans="1:40">
      <c r="A419" s="135" t="s">
        <v>214</v>
      </c>
      <c r="B419" s="140" t="s">
        <v>245</v>
      </c>
      <c r="C419" s="135">
        <v>207935</v>
      </c>
      <c r="D419" s="137">
        <v>8</v>
      </c>
      <c r="E419" s="323">
        <v>2708.4</v>
      </c>
      <c r="F419" s="324">
        <v>2708</v>
      </c>
      <c r="G419" s="325">
        <f>30*245.83</f>
        <v>7374.9000000000005</v>
      </c>
      <c r="H419" s="324">
        <v>7375</v>
      </c>
      <c r="I419" s="323"/>
      <c r="J419" s="324"/>
      <c r="K419" s="325"/>
      <c r="L419" s="324"/>
      <c r="M419" s="323"/>
      <c r="N419" s="324"/>
      <c r="O419" s="325"/>
      <c r="P419" s="324"/>
      <c r="Q419" s="323"/>
      <c r="R419" s="324"/>
      <c r="S419" s="325"/>
      <c r="T419" s="324"/>
      <c r="U419" s="323"/>
      <c r="V419" s="324"/>
      <c r="W419" s="325"/>
      <c r="X419" s="324"/>
      <c r="Y419" s="323"/>
      <c r="Z419" s="324"/>
      <c r="AA419" s="325"/>
      <c r="AB419" s="324"/>
      <c r="AC419" s="323"/>
      <c r="AD419" s="324"/>
      <c r="AE419" s="325"/>
      <c r="AF419" s="324"/>
      <c r="AG419" s="323"/>
      <c r="AH419" s="324"/>
      <c r="AI419" s="325"/>
      <c r="AJ419" s="324"/>
      <c r="AK419" s="323"/>
      <c r="AL419" s="324"/>
      <c r="AM419" s="325"/>
      <c r="AN419" s="324"/>
    </row>
    <row r="420" spans="1:40">
      <c r="A420" s="135" t="s">
        <v>214</v>
      </c>
      <c r="B420" s="232" t="s">
        <v>246</v>
      </c>
      <c r="C420" s="135">
        <v>207281</v>
      </c>
      <c r="D420" s="137">
        <v>9</v>
      </c>
      <c r="E420" s="323">
        <v>2302.5</v>
      </c>
      <c r="F420" s="324">
        <v>2303</v>
      </c>
      <c r="G420" s="325">
        <f>30*193.75</f>
        <v>5812.5</v>
      </c>
      <c r="H420" s="324">
        <v>5813</v>
      </c>
      <c r="I420" s="323"/>
      <c r="J420" s="324"/>
      <c r="K420" s="325"/>
      <c r="L420" s="324"/>
      <c r="M420" s="323"/>
      <c r="N420" s="324"/>
      <c r="O420" s="325"/>
      <c r="P420" s="324"/>
      <c r="Q420" s="323"/>
      <c r="R420" s="324"/>
      <c r="S420" s="325"/>
      <c r="T420" s="324"/>
      <c r="U420" s="323"/>
      <c r="V420" s="324"/>
      <c r="W420" s="325"/>
      <c r="X420" s="324"/>
      <c r="Y420" s="323"/>
      <c r="Z420" s="324"/>
      <c r="AA420" s="325"/>
      <c r="AB420" s="324"/>
      <c r="AC420" s="323"/>
      <c r="AD420" s="324"/>
      <c r="AE420" s="325"/>
      <c r="AF420" s="324"/>
      <c r="AG420" s="323"/>
      <c r="AH420" s="324"/>
      <c r="AI420" s="325"/>
      <c r="AJ420" s="324"/>
      <c r="AK420" s="323"/>
      <c r="AL420" s="324"/>
      <c r="AM420" s="325"/>
      <c r="AN420" s="324"/>
    </row>
    <row r="421" spans="1:40">
      <c r="A421" s="135" t="s">
        <v>214</v>
      </c>
      <c r="B421" s="140" t="s">
        <v>248</v>
      </c>
      <c r="C421" s="135">
        <v>207397</v>
      </c>
      <c r="D421" s="137">
        <v>9</v>
      </c>
      <c r="E421" s="323">
        <v>3252.6</v>
      </c>
      <c r="F421" s="324">
        <v>3253</v>
      </c>
      <c r="G421" s="325">
        <f>30*270.42</f>
        <v>8112.6</v>
      </c>
      <c r="H421" s="324">
        <v>8113</v>
      </c>
      <c r="I421" s="323"/>
      <c r="J421" s="324"/>
      <c r="K421" s="325"/>
      <c r="L421" s="324"/>
      <c r="M421" s="323"/>
      <c r="N421" s="324"/>
      <c r="O421" s="325"/>
      <c r="P421" s="324"/>
      <c r="Q421" s="323"/>
      <c r="R421" s="324"/>
      <c r="S421" s="325"/>
      <c r="T421" s="324"/>
      <c r="U421" s="323"/>
      <c r="V421" s="324"/>
      <c r="W421" s="325"/>
      <c r="X421" s="324"/>
      <c r="Y421" s="323"/>
      <c r="Z421" s="324"/>
      <c r="AA421" s="325"/>
      <c r="AB421" s="324"/>
      <c r="AC421" s="323"/>
      <c r="AD421" s="324"/>
      <c r="AE421" s="325"/>
      <c r="AF421" s="324"/>
      <c r="AG421" s="323"/>
      <c r="AH421" s="324"/>
      <c r="AI421" s="325"/>
      <c r="AJ421" s="324"/>
      <c r="AK421" s="323"/>
      <c r="AL421" s="324"/>
      <c r="AM421" s="325"/>
      <c r="AN421" s="324"/>
    </row>
    <row r="422" spans="1:40">
      <c r="A422" s="135" t="s">
        <v>214</v>
      </c>
      <c r="B422" s="155" t="s">
        <v>249</v>
      </c>
      <c r="C422" s="135">
        <v>207670</v>
      </c>
      <c r="D422" s="137">
        <v>9</v>
      </c>
      <c r="E422" s="323">
        <v>2534.1</v>
      </c>
      <c r="F422" s="324">
        <v>2534</v>
      </c>
      <c r="G422" s="325">
        <f>30*246.47</f>
        <v>7394.1</v>
      </c>
      <c r="H422" s="324">
        <v>7394</v>
      </c>
      <c r="I422" s="323"/>
      <c r="J422" s="324"/>
      <c r="K422" s="325"/>
      <c r="L422" s="324"/>
      <c r="M422" s="323"/>
      <c r="N422" s="324"/>
      <c r="O422" s="325"/>
      <c r="P422" s="324"/>
      <c r="Q422" s="323"/>
      <c r="R422" s="324"/>
      <c r="S422" s="325"/>
      <c r="T422" s="324"/>
      <c r="U422" s="323"/>
      <c r="V422" s="324"/>
      <c r="W422" s="325"/>
      <c r="X422" s="324"/>
      <c r="Y422" s="323"/>
      <c r="Z422" s="324"/>
      <c r="AA422" s="325"/>
      <c r="AB422" s="324"/>
      <c r="AC422" s="323"/>
      <c r="AD422" s="324"/>
      <c r="AE422" s="325"/>
      <c r="AF422" s="324"/>
      <c r="AG422" s="323"/>
      <c r="AH422" s="324"/>
      <c r="AI422" s="325"/>
      <c r="AJ422" s="324"/>
      <c r="AK422" s="323"/>
      <c r="AL422" s="324"/>
      <c r="AM422" s="325"/>
      <c r="AN422" s="324"/>
    </row>
    <row r="423" spans="1:40">
      <c r="A423" s="135" t="s">
        <v>214</v>
      </c>
      <c r="B423" s="140" t="s">
        <v>250</v>
      </c>
      <c r="C423" s="135">
        <v>206923</v>
      </c>
      <c r="D423" s="137">
        <v>10</v>
      </c>
      <c r="E423" s="323">
        <v>2250</v>
      </c>
      <c r="F423" s="324">
        <v>2648.1</v>
      </c>
      <c r="G423" s="325">
        <f>30*174</f>
        <v>5220</v>
      </c>
      <c r="H423" s="324">
        <v>5220</v>
      </c>
      <c r="I423" s="323"/>
      <c r="J423" s="324"/>
      <c r="K423" s="325"/>
      <c r="L423" s="324"/>
      <c r="M423" s="323"/>
      <c r="N423" s="324"/>
      <c r="O423" s="325"/>
      <c r="P423" s="324"/>
      <c r="Q423" s="323"/>
      <c r="R423" s="324"/>
      <c r="S423" s="325"/>
      <c r="T423" s="324"/>
      <c r="U423" s="323"/>
      <c r="V423" s="324"/>
      <c r="W423" s="325"/>
      <c r="X423" s="324"/>
      <c r="Y423" s="323"/>
      <c r="Z423" s="324"/>
      <c r="AA423" s="325"/>
      <c r="AB423" s="324"/>
      <c r="AC423" s="323"/>
      <c r="AD423" s="324"/>
      <c r="AE423" s="325"/>
      <c r="AF423" s="324"/>
      <c r="AG423" s="323"/>
      <c r="AH423" s="324"/>
      <c r="AI423" s="325"/>
      <c r="AJ423" s="324"/>
      <c r="AK423" s="323"/>
      <c r="AL423" s="324"/>
      <c r="AM423" s="325"/>
      <c r="AN423" s="324"/>
    </row>
    <row r="424" spans="1:40">
      <c r="A424" s="135" t="s">
        <v>214</v>
      </c>
      <c r="B424" s="140" t="s">
        <v>251</v>
      </c>
      <c r="C424" s="135">
        <v>206996</v>
      </c>
      <c r="D424" s="137">
        <v>10</v>
      </c>
      <c r="E424" s="323">
        <v>2598</v>
      </c>
      <c r="F424" s="324">
        <v>2598</v>
      </c>
      <c r="G424" s="325">
        <f>30*207.49</f>
        <v>6224.7000000000007</v>
      </c>
      <c r="H424" s="324">
        <v>6275</v>
      </c>
      <c r="I424" s="323"/>
      <c r="J424" s="324"/>
      <c r="K424" s="325"/>
      <c r="L424" s="324"/>
      <c r="M424" s="323"/>
      <c r="N424" s="324"/>
      <c r="O424" s="325"/>
      <c r="P424" s="324"/>
      <c r="Q424" s="323"/>
      <c r="R424" s="324"/>
      <c r="S424" s="325"/>
      <c r="T424" s="324"/>
      <c r="U424" s="323"/>
      <c r="V424" s="324"/>
      <c r="W424" s="325"/>
      <c r="X424" s="324"/>
      <c r="Y424" s="323"/>
      <c r="Z424" s="324"/>
      <c r="AA424" s="325"/>
      <c r="AB424" s="324"/>
      <c r="AC424" s="323"/>
      <c r="AD424" s="324"/>
      <c r="AE424" s="325"/>
      <c r="AF424" s="324"/>
      <c r="AG424" s="323"/>
      <c r="AH424" s="324"/>
      <c r="AI424" s="325"/>
      <c r="AJ424" s="324"/>
      <c r="AK424" s="323"/>
      <c r="AL424" s="324"/>
      <c r="AM424" s="325"/>
      <c r="AN424" s="324"/>
    </row>
    <row r="425" spans="1:40">
      <c r="A425" s="135" t="s">
        <v>214</v>
      </c>
      <c r="B425" s="140" t="s">
        <v>252</v>
      </c>
      <c r="C425" s="135">
        <v>207050</v>
      </c>
      <c r="D425" s="137">
        <v>10</v>
      </c>
      <c r="E425" s="323">
        <v>2835</v>
      </c>
      <c r="F425" s="324">
        <v>2835</v>
      </c>
      <c r="G425" s="325">
        <f>30*215.06</f>
        <v>6451.8</v>
      </c>
      <c r="H425" s="324">
        <v>6452</v>
      </c>
      <c r="I425" s="323"/>
      <c r="J425" s="324"/>
      <c r="K425" s="325"/>
      <c r="L425" s="324"/>
      <c r="M425" s="323"/>
      <c r="N425" s="324"/>
      <c r="O425" s="325"/>
      <c r="P425" s="324"/>
      <c r="Q425" s="323"/>
      <c r="R425" s="324"/>
      <c r="S425" s="325"/>
      <c r="T425" s="324"/>
      <c r="U425" s="323"/>
      <c r="V425" s="324"/>
      <c r="W425" s="325"/>
      <c r="X425" s="324"/>
      <c r="Y425" s="323"/>
      <c r="Z425" s="324"/>
      <c r="AA425" s="325"/>
      <c r="AB425" s="324"/>
      <c r="AC425" s="323"/>
      <c r="AD425" s="324"/>
      <c r="AE425" s="325"/>
      <c r="AF425" s="324"/>
      <c r="AG425" s="323"/>
      <c r="AH425" s="324"/>
      <c r="AI425" s="325"/>
      <c r="AJ425" s="324"/>
      <c r="AK425" s="323"/>
      <c r="AL425" s="324"/>
      <c r="AM425" s="325"/>
      <c r="AN425" s="324"/>
    </row>
    <row r="426" spans="1:40">
      <c r="A426" s="135" t="s">
        <v>214</v>
      </c>
      <c r="B426" s="140" t="s">
        <v>253</v>
      </c>
      <c r="C426" s="135">
        <v>207236</v>
      </c>
      <c r="D426" s="137">
        <v>10</v>
      </c>
      <c r="E426" s="323">
        <v>2840.1</v>
      </c>
      <c r="F426" s="324">
        <v>2840</v>
      </c>
      <c r="G426" s="325">
        <f>30*221.67</f>
        <v>6650.0999999999995</v>
      </c>
      <c r="H426" s="324">
        <v>6650</v>
      </c>
      <c r="I426" s="323"/>
      <c r="J426" s="324"/>
      <c r="K426" s="325"/>
      <c r="L426" s="324"/>
      <c r="M426" s="323"/>
      <c r="N426" s="324"/>
      <c r="O426" s="325"/>
      <c r="P426" s="324"/>
      <c r="Q426" s="323"/>
      <c r="R426" s="324"/>
      <c r="S426" s="325"/>
      <c r="T426" s="324"/>
      <c r="U426" s="323"/>
      <c r="V426" s="324"/>
      <c r="W426" s="325"/>
      <c r="X426" s="324"/>
      <c r="Y426" s="323"/>
      <c r="Z426" s="324"/>
      <c r="AA426" s="325"/>
      <c r="AB426" s="324"/>
      <c r="AC426" s="323"/>
      <c r="AD426" s="324"/>
      <c r="AE426" s="325"/>
      <c r="AF426" s="324"/>
      <c r="AG426" s="323"/>
      <c r="AH426" s="324"/>
      <c r="AI426" s="325"/>
      <c r="AJ426" s="324"/>
      <c r="AK426" s="323"/>
      <c r="AL426" s="324"/>
      <c r="AM426" s="325"/>
      <c r="AN426" s="324"/>
    </row>
    <row r="427" spans="1:40">
      <c r="A427" s="135" t="s">
        <v>214</v>
      </c>
      <c r="B427" s="140" t="s">
        <v>254</v>
      </c>
      <c r="C427" s="135">
        <v>207290</v>
      </c>
      <c r="D427" s="137">
        <v>10</v>
      </c>
      <c r="E427" s="323">
        <v>2441.3999999999996</v>
      </c>
      <c r="F427" s="324">
        <v>2441</v>
      </c>
      <c r="G427" s="325">
        <f>30*208.73</f>
        <v>6261.9</v>
      </c>
      <c r="H427" s="324">
        <v>6262</v>
      </c>
      <c r="I427" s="323"/>
      <c r="J427" s="324"/>
      <c r="K427" s="325"/>
      <c r="L427" s="324"/>
      <c r="M427" s="323"/>
      <c r="N427" s="324"/>
      <c r="O427" s="325"/>
      <c r="P427" s="324"/>
      <c r="Q427" s="323"/>
      <c r="R427" s="324"/>
      <c r="S427" s="325"/>
      <c r="T427" s="324"/>
      <c r="U427" s="323"/>
      <c r="V427" s="324"/>
      <c r="W427" s="325"/>
      <c r="X427" s="324"/>
      <c r="Y427" s="323"/>
      <c r="Z427" s="324"/>
      <c r="AA427" s="325"/>
      <c r="AB427" s="324"/>
      <c r="AC427" s="323"/>
      <c r="AD427" s="324"/>
      <c r="AE427" s="325"/>
      <c r="AF427" s="324"/>
      <c r="AG427" s="323"/>
      <c r="AH427" s="324"/>
      <c r="AI427" s="325"/>
      <c r="AJ427" s="324"/>
      <c r="AK427" s="323"/>
      <c r="AL427" s="324"/>
      <c r="AM427" s="325"/>
      <c r="AN427" s="324"/>
    </row>
    <row r="428" spans="1:40">
      <c r="A428" s="135" t="s">
        <v>214</v>
      </c>
      <c r="B428" s="140" t="s">
        <v>255</v>
      </c>
      <c r="C428" s="135">
        <v>207069</v>
      </c>
      <c r="D428" s="137">
        <v>10</v>
      </c>
      <c r="E428" s="323">
        <v>2902.5</v>
      </c>
      <c r="F428" s="324">
        <v>2903</v>
      </c>
      <c r="G428" s="325">
        <f>30*171.75</f>
        <v>5152.5</v>
      </c>
      <c r="H428" s="324">
        <v>5153</v>
      </c>
      <c r="I428" s="323"/>
      <c r="J428" s="324"/>
      <c r="K428" s="325"/>
      <c r="L428" s="324"/>
      <c r="M428" s="323"/>
      <c r="N428" s="324"/>
      <c r="O428" s="325"/>
      <c r="P428" s="324"/>
      <c r="Q428" s="323"/>
      <c r="R428" s="324"/>
      <c r="S428" s="325"/>
      <c r="T428" s="324"/>
      <c r="U428" s="323"/>
      <c r="V428" s="324"/>
      <c r="W428" s="325"/>
      <c r="X428" s="324"/>
      <c r="Y428" s="323"/>
      <c r="Z428" s="324"/>
      <c r="AA428" s="325"/>
      <c r="AB428" s="324"/>
      <c r="AC428" s="323"/>
      <c r="AD428" s="324"/>
      <c r="AE428" s="325"/>
      <c r="AF428" s="324"/>
      <c r="AG428" s="323"/>
      <c r="AH428" s="324"/>
      <c r="AI428" s="325"/>
      <c r="AJ428" s="324"/>
      <c r="AK428" s="323"/>
      <c r="AL428" s="324"/>
      <c r="AM428" s="325"/>
      <c r="AN428" s="324"/>
    </row>
    <row r="429" spans="1:40">
      <c r="A429" s="135" t="s">
        <v>214</v>
      </c>
      <c r="B429" s="140" t="s">
        <v>256</v>
      </c>
      <c r="C429" s="135">
        <v>207740</v>
      </c>
      <c r="D429" s="137">
        <v>10</v>
      </c>
      <c r="E429" s="323">
        <v>2848.5</v>
      </c>
      <c r="F429" s="324">
        <v>2849</v>
      </c>
      <c r="G429" s="325">
        <f>30*222.15</f>
        <v>6664.5</v>
      </c>
      <c r="H429" s="324">
        <v>6665</v>
      </c>
      <c r="I429" s="323"/>
      <c r="J429" s="324"/>
      <c r="K429" s="325"/>
      <c r="L429" s="324"/>
      <c r="M429" s="323"/>
      <c r="N429" s="324"/>
      <c r="O429" s="325"/>
      <c r="P429" s="324"/>
      <c r="Q429" s="323"/>
      <c r="R429" s="324"/>
      <c r="S429" s="325"/>
      <c r="T429" s="324"/>
      <c r="U429" s="323"/>
      <c r="V429" s="324"/>
      <c r="W429" s="325"/>
      <c r="X429" s="324"/>
      <c r="Y429" s="323"/>
      <c r="Z429" s="324"/>
      <c r="AA429" s="325"/>
      <c r="AB429" s="324"/>
      <c r="AC429" s="323"/>
      <c r="AD429" s="324"/>
      <c r="AE429" s="325"/>
      <c r="AF429" s="324"/>
      <c r="AG429" s="323"/>
      <c r="AH429" s="324"/>
      <c r="AI429" s="325"/>
      <c r="AJ429" s="324"/>
      <c r="AK429" s="323"/>
      <c r="AL429" s="324"/>
      <c r="AM429" s="325"/>
      <c r="AN429" s="324"/>
    </row>
    <row r="430" spans="1:40">
      <c r="A430" s="135" t="s">
        <v>214</v>
      </c>
      <c r="B430" s="140" t="s">
        <v>257</v>
      </c>
      <c r="C430" s="135">
        <v>208035</v>
      </c>
      <c r="D430" s="137">
        <v>10</v>
      </c>
      <c r="E430" s="323">
        <v>2683.5</v>
      </c>
      <c r="F430" s="324">
        <v>2684</v>
      </c>
      <c r="G430" s="325">
        <f>30*205.45</f>
        <v>6163.5</v>
      </c>
      <c r="H430" s="324">
        <v>6164</v>
      </c>
      <c r="I430" s="323"/>
      <c r="J430" s="324"/>
      <c r="K430" s="325"/>
      <c r="L430" s="324"/>
      <c r="M430" s="323"/>
      <c r="N430" s="324"/>
      <c r="O430" s="325"/>
      <c r="P430" s="324"/>
      <c r="Q430" s="323"/>
      <c r="R430" s="324"/>
      <c r="S430" s="325"/>
      <c r="T430" s="324"/>
      <c r="U430" s="323"/>
      <c r="V430" s="324"/>
      <c r="W430" s="325"/>
      <c r="X430" s="324"/>
      <c r="Y430" s="323"/>
      <c r="Z430" s="324"/>
      <c r="AA430" s="325"/>
      <c r="AB430" s="324"/>
      <c r="AC430" s="323"/>
      <c r="AD430" s="324"/>
      <c r="AE430" s="325"/>
      <c r="AF430" s="324"/>
      <c r="AG430" s="323"/>
      <c r="AH430" s="324"/>
      <c r="AI430" s="325"/>
      <c r="AJ430" s="324"/>
      <c r="AK430" s="323"/>
      <c r="AL430" s="324"/>
      <c r="AM430" s="325"/>
      <c r="AN430" s="324"/>
    </row>
    <row r="431" spans="1:40">
      <c r="A431" s="182" t="s">
        <v>214</v>
      </c>
      <c r="B431" s="362" t="s">
        <v>336</v>
      </c>
      <c r="C431" s="363">
        <v>365374</v>
      </c>
      <c r="D431" s="364">
        <v>12</v>
      </c>
      <c r="E431" s="323">
        <v>1125</v>
      </c>
      <c r="F431" s="324">
        <v>1125</v>
      </c>
      <c r="G431" s="325"/>
      <c r="H431" s="324"/>
      <c r="I431" s="323"/>
      <c r="J431" s="324"/>
      <c r="K431" s="325"/>
      <c r="L431" s="324"/>
      <c r="M431" s="323"/>
      <c r="N431" s="324"/>
      <c r="O431" s="325"/>
      <c r="P431" s="324"/>
      <c r="Q431" s="323"/>
      <c r="R431" s="324"/>
      <c r="S431" s="325"/>
      <c r="T431" s="324"/>
      <c r="U431" s="323"/>
      <c r="V431" s="324"/>
      <c r="W431" s="325"/>
      <c r="X431" s="324"/>
      <c r="Y431" s="323"/>
      <c r="Z431" s="324"/>
      <c r="AA431" s="325"/>
      <c r="AB431" s="324"/>
      <c r="AC431" s="323"/>
      <c r="AD431" s="324"/>
      <c r="AE431" s="325"/>
      <c r="AF431" s="324"/>
      <c r="AG431" s="323"/>
      <c r="AH431" s="324"/>
      <c r="AI431" s="325"/>
      <c r="AJ431" s="324"/>
      <c r="AK431" s="323"/>
      <c r="AL431" s="324"/>
      <c r="AM431" s="325"/>
      <c r="AN431" s="324"/>
    </row>
    <row r="432" spans="1:40">
      <c r="A432" s="182" t="s">
        <v>214</v>
      </c>
      <c r="B432" s="183" t="s">
        <v>329</v>
      </c>
      <c r="C432" s="182">
        <v>245999</v>
      </c>
      <c r="D432" s="144">
        <v>12</v>
      </c>
      <c r="E432" s="323">
        <v>1368</v>
      </c>
      <c r="F432" s="324">
        <v>1368</v>
      </c>
      <c r="G432" s="325">
        <v>2700</v>
      </c>
      <c r="H432" s="324">
        <v>2700</v>
      </c>
      <c r="I432" s="323"/>
      <c r="J432" s="324"/>
      <c r="K432" s="325"/>
      <c r="L432" s="324"/>
      <c r="M432" s="323"/>
      <c r="N432" s="324"/>
      <c r="O432" s="325"/>
      <c r="P432" s="324"/>
      <c r="Q432" s="323"/>
      <c r="R432" s="324"/>
      <c r="S432" s="325"/>
      <c r="T432" s="324"/>
      <c r="U432" s="323"/>
      <c r="V432" s="324"/>
      <c r="W432" s="325"/>
      <c r="X432" s="324"/>
      <c r="Y432" s="323"/>
      <c r="Z432" s="324"/>
      <c r="AA432" s="325"/>
      <c r="AB432" s="324"/>
      <c r="AC432" s="323"/>
      <c r="AD432" s="324"/>
      <c r="AE432" s="325"/>
      <c r="AF432" s="324"/>
      <c r="AG432" s="323"/>
      <c r="AH432" s="324"/>
      <c r="AI432" s="325"/>
      <c r="AJ432" s="324"/>
      <c r="AK432" s="323"/>
      <c r="AL432" s="324"/>
      <c r="AM432" s="325"/>
      <c r="AN432" s="324"/>
    </row>
    <row r="433" spans="1:40">
      <c r="A433" s="182" t="s">
        <v>214</v>
      </c>
      <c r="B433" s="184" t="s">
        <v>330</v>
      </c>
      <c r="C433" s="182">
        <v>364548</v>
      </c>
      <c r="D433" s="144">
        <v>12</v>
      </c>
      <c r="E433" s="323">
        <v>1125</v>
      </c>
      <c r="F433" s="324">
        <v>1125</v>
      </c>
      <c r="G433" s="325">
        <v>2125</v>
      </c>
      <c r="H433" s="324">
        <v>2125</v>
      </c>
      <c r="I433" s="323"/>
      <c r="J433" s="324"/>
      <c r="K433" s="325"/>
      <c r="L433" s="324"/>
      <c r="M433" s="323"/>
      <c r="N433" s="324"/>
      <c r="O433" s="325"/>
      <c r="P433" s="324"/>
      <c r="Q433" s="323"/>
      <c r="R433" s="324"/>
      <c r="S433" s="325"/>
      <c r="T433" s="324"/>
      <c r="U433" s="323"/>
      <c r="V433" s="324"/>
      <c r="W433" s="325"/>
      <c r="X433" s="324"/>
      <c r="Y433" s="323"/>
      <c r="Z433" s="324"/>
      <c r="AA433" s="325"/>
      <c r="AB433" s="324"/>
      <c r="AC433" s="323"/>
      <c r="AD433" s="324"/>
      <c r="AE433" s="325"/>
      <c r="AF433" s="324"/>
      <c r="AG433" s="323"/>
      <c r="AH433" s="324"/>
      <c r="AI433" s="325"/>
      <c r="AJ433" s="324"/>
      <c r="AK433" s="323"/>
      <c r="AL433" s="324"/>
      <c r="AM433" s="325"/>
      <c r="AN433" s="324"/>
    </row>
    <row r="434" spans="1:40">
      <c r="A434" s="182" t="s">
        <v>214</v>
      </c>
      <c r="B434" s="183" t="s">
        <v>331</v>
      </c>
      <c r="C434" s="182">
        <v>363165</v>
      </c>
      <c r="D434" s="144">
        <v>12</v>
      </c>
      <c r="E434" s="323">
        <v>1800</v>
      </c>
      <c r="F434" s="324">
        <v>1800</v>
      </c>
      <c r="G434" s="325">
        <v>5400</v>
      </c>
      <c r="H434" s="324">
        <v>5400</v>
      </c>
      <c r="I434" s="323"/>
      <c r="J434" s="324"/>
      <c r="K434" s="325"/>
      <c r="L434" s="324"/>
      <c r="M434" s="323"/>
      <c r="N434" s="324"/>
      <c r="O434" s="325"/>
      <c r="P434" s="324"/>
      <c r="Q434" s="323"/>
      <c r="R434" s="324"/>
      <c r="S434" s="325"/>
      <c r="T434" s="324"/>
      <c r="U434" s="323"/>
      <c r="V434" s="324"/>
      <c r="W434" s="325"/>
      <c r="X434" s="324"/>
      <c r="Y434" s="323"/>
      <c r="Z434" s="324"/>
      <c r="AA434" s="325"/>
      <c r="AB434" s="324"/>
      <c r="AC434" s="323"/>
      <c r="AD434" s="324"/>
      <c r="AE434" s="325"/>
      <c r="AF434" s="324"/>
      <c r="AG434" s="323"/>
      <c r="AH434" s="324"/>
      <c r="AI434" s="325"/>
      <c r="AJ434" s="324"/>
      <c r="AK434" s="323"/>
      <c r="AL434" s="324"/>
      <c r="AM434" s="325"/>
      <c r="AN434" s="324"/>
    </row>
    <row r="435" spans="1:40">
      <c r="A435" s="182" t="s">
        <v>214</v>
      </c>
      <c r="B435" s="185" t="s">
        <v>333</v>
      </c>
      <c r="C435" s="182">
        <v>261393</v>
      </c>
      <c r="D435" s="144">
        <v>12</v>
      </c>
      <c r="E435" s="323">
        <v>2250</v>
      </c>
      <c r="F435" s="324">
        <v>2250</v>
      </c>
      <c r="G435" s="325">
        <v>4500</v>
      </c>
      <c r="H435" s="324">
        <v>4500</v>
      </c>
      <c r="I435" s="323"/>
      <c r="J435" s="324"/>
      <c r="K435" s="325"/>
      <c r="L435" s="324"/>
      <c r="M435" s="323"/>
      <c r="N435" s="324"/>
      <c r="O435" s="325"/>
      <c r="P435" s="324"/>
      <c r="Q435" s="323"/>
      <c r="R435" s="324"/>
      <c r="S435" s="325"/>
      <c r="T435" s="324"/>
      <c r="U435" s="323"/>
      <c r="V435" s="324"/>
      <c r="W435" s="325"/>
      <c r="X435" s="324"/>
      <c r="Y435" s="323"/>
      <c r="Z435" s="324"/>
      <c r="AA435" s="325"/>
      <c r="AB435" s="324"/>
      <c r="AC435" s="323"/>
      <c r="AD435" s="324"/>
      <c r="AE435" s="325"/>
      <c r="AF435" s="324"/>
      <c r="AG435" s="323"/>
      <c r="AH435" s="324"/>
      <c r="AI435" s="325"/>
      <c r="AJ435" s="324"/>
      <c r="AK435" s="323"/>
      <c r="AL435" s="324"/>
      <c r="AM435" s="325"/>
      <c r="AN435" s="324"/>
    </row>
    <row r="436" spans="1:40">
      <c r="A436" s="182" t="s">
        <v>214</v>
      </c>
      <c r="B436" s="183" t="s">
        <v>334</v>
      </c>
      <c r="C436" s="182">
        <v>365213</v>
      </c>
      <c r="D436" s="144">
        <v>13</v>
      </c>
      <c r="E436" s="323">
        <v>1440</v>
      </c>
      <c r="F436" s="324">
        <v>1440</v>
      </c>
      <c r="G436" s="325">
        <v>4050</v>
      </c>
      <c r="H436" s="324">
        <v>4050</v>
      </c>
      <c r="I436" s="323"/>
      <c r="J436" s="324"/>
      <c r="K436" s="325"/>
      <c r="L436" s="324"/>
      <c r="M436" s="323"/>
      <c r="N436" s="324"/>
      <c r="O436" s="325"/>
      <c r="P436" s="324"/>
      <c r="Q436" s="323"/>
      <c r="R436" s="324"/>
      <c r="S436" s="325"/>
      <c r="T436" s="324"/>
      <c r="U436" s="323"/>
      <c r="V436" s="324"/>
      <c r="W436" s="325"/>
      <c r="X436" s="324"/>
      <c r="Y436" s="323"/>
      <c r="Z436" s="324"/>
      <c r="AA436" s="325"/>
      <c r="AB436" s="324"/>
      <c r="AC436" s="323"/>
      <c r="AD436" s="324"/>
      <c r="AE436" s="325"/>
      <c r="AF436" s="324"/>
      <c r="AG436" s="323"/>
      <c r="AH436" s="324"/>
      <c r="AI436" s="325"/>
      <c r="AJ436" s="324"/>
      <c r="AK436" s="323"/>
      <c r="AL436" s="324"/>
      <c r="AM436" s="325"/>
      <c r="AN436" s="324"/>
    </row>
    <row r="437" spans="1:40">
      <c r="A437" s="182" t="s">
        <v>214</v>
      </c>
      <c r="B437" s="183" t="s">
        <v>335</v>
      </c>
      <c r="C437" s="182">
        <v>364946</v>
      </c>
      <c r="D437" s="144">
        <v>13</v>
      </c>
      <c r="E437" s="323">
        <v>1800</v>
      </c>
      <c r="F437" s="324">
        <v>1800</v>
      </c>
      <c r="G437" s="325">
        <v>3600</v>
      </c>
      <c r="H437" s="324">
        <v>3600</v>
      </c>
      <c r="I437" s="323"/>
      <c r="J437" s="324"/>
      <c r="K437" s="325"/>
      <c r="L437" s="324"/>
      <c r="M437" s="323"/>
      <c r="N437" s="324"/>
      <c r="O437" s="325"/>
      <c r="P437" s="324"/>
      <c r="Q437" s="323"/>
      <c r="R437" s="324"/>
      <c r="S437" s="325"/>
      <c r="T437" s="324"/>
      <c r="U437" s="323"/>
      <c r="V437" s="324"/>
      <c r="W437" s="325"/>
      <c r="X437" s="324"/>
      <c r="Y437" s="323"/>
      <c r="Z437" s="324"/>
      <c r="AA437" s="325"/>
      <c r="AB437" s="324"/>
      <c r="AC437" s="323"/>
      <c r="AD437" s="324"/>
      <c r="AE437" s="325"/>
      <c r="AF437" s="324"/>
      <c r="AG437" s="323"/>
      <c r="AH437" s="324"/>
      <c r="AI437" s="325"/>
      <c r="AJ437" s="324"/>
      <c r="AK437" s="323"/>
      <c r="AL437" s="324"/>
      <c r="AM437" s="325"/>
      <c r="AN437" s="324"/>
    </row>
    <row r="438" spans="1:40">
      <c r="A438" s="182" t="s">
        <v>214</v>
      </c>
      <c r="B438" s="183" t="s">
        <v>337</v>
      </c>
      <c r="C438" s="182">
        <v>246017</v>
      </c>
      <c r="D438" s="144">
        <v>13</v>
      </c>
      <c r="E438" s="323">
        <v>1225</v>
      </c>
      <c r="F438" s="324">
        <v>1225</v>
      </c>
      <c r="G438" s="325">
        <v>2350</v>
      </c>
      <c r="H438" s="324">
        <v>2350</v>
      </c>
      <c r="I438" s="323"/>
      <c r="J438" s="324"/>
      <c r="K438" s="325"/>
      <c r="L438" s="324"/>
      <c r="M438" s="323"/>
      <c r="N438" s="324"/>
      <c r="O438" s="325"/>
      <c r="P438" s="324"/>
      <c r="Q438" s="323"/>
      <c r="R438" s="324"/>
      <c r="S438" s="325"/>
      <c r="T438" s="324"/>
      <c r="U438" s="323"/>
      <c r="V438" s="324"/>
      <c r="W438" s="325"/>
      <c r="X438" s="324"/>
      <c r="Y438" s="323"/>
      <c r="Z438" s="324"/>
      <c r="AA438" s="325"/>
      <c r="AB438" s="324"/>
      <c r="AC438" s="323"/>
      <c r="AD438" s="324"/>
      <c r="AE438" s="325"/>
      <c r="AF438" s="324"/>
      <c r="AG438" s="323"/>
      <c r="AH438" s="324"/>
      <c r="AI438" s="325"/>
      <c r="AJ438" s="324"/>
      <c r="AK438" s="323"/>
      <c r="AL438" s="324"/>
      <c r="AM438" s="325"/>
      <c r="AN438" s="324"/>
    </row>
    <row r="439" spans="1:40">
      <c r="A439" s="182" t="s">
        <v>214</v>
      </c>
      <c r="B439" s="183" t="s">
        <v>338</v>
      </c>
      <c r="C439" s="182">
        <v>375656</v>
      </c>
      <c r="D439" s="144">
        <v>13</v>
      </c>
      <c r="E439" s="323">
        <v>1800</v>
      </c>
      <c r="F439" s="324">
        <v>1800</v>
      </c>
      <c r="G439" s="325">
        <v>3600</v>
      </c>
      <c r="H439" s="324">
        <v>3600</v>
      </c>
      <c r="I439" s="323"/>
      <c r="J439" s="324"/>
      <c r="K439" s="325"/>
      <c r="L439" s="324"/>
      <c r="M439" s="323"/>
      <c r="N439" s="324"/>
      <c r="O439" s="325"/>
      <c r="P439" s="324"/>
      <c r="Q439" s="323"/>
      <c r="R439" s="324"/>
      <c r="S439" s="325"/>
      <c r="T439" s="324"/>
      <c r="U439" s="323"/>
      <c r="V439" s="324"/>
      <c r="W439" s="325"/>
      <c r="X439" s="324"/>
      <c r="Y439" s="323"/>
      <c r="Z439" s="324"/>
      <c r="AA439" s="325"/>
      <c r="AB439" s="324"/>
      <c r="AC439" s="323"/>
      <c r="AD439" s="324"/>
      <c r="AE439" s="325"/>
      <c r="AF439" s="324"/>
      <c r="AG439" s="323"/>
      <c r="AH439" s="324"/>
      <c r="AI439" s="325"/>
      <c r="AJ439" s="324"/>
      <c r="AK439" s="323"/>
      <c r="AL439" s="324"/>
      <c r="AM439" s="325"/>
      <c r="AN439" s="324"/>
    </row>
    <row r="440" spans="1:40">
      <c r="A440" s="182" t="s">
        <v>214</v>
      </c>
      <c r="B440" s="183" t="s">
        <v>339</v>
      </c>
      <c r="C440" s="182">
        <v>418348</v>
      </c>
      <c r="D440" s="144">
        <v>13</v>
      </c>
      <c r="E440" s="323">
        <v>900</v>
      </c>
      <c r="F440" s="324">
        <v>900</v>
      </c>
      <c r="G440" s="325">
        <v>900</v>
      </c>
      <c r="H440" s="324">
        <v>900</v>
      </c>
      <c r="I440" s="323"/>
      <c r="J440" s="324"/>
      <c r="K440" s="325"/>
      <c r="L440" s="324"/>
      <c r="M440" s="323"/>
      <c r="N440" s="324"/>
      <c r="O440" s="325"/>
      <c r="P440" s="324"/>
      <c r="Q440" s="323"/>
      <c r="R440" s="324"/>
      <c r="S440" s="325"/>
      <c r="T440" s="324"/>
      <c r="U440" s="323"/>
      <c r="V440" s="324"/>
      <c r="W440" s="325"/>
      <c r="X440" s="324"/>
      <c r="Y440" s="323"/>
      <c r="Z440" s="324"/>
      <c r="AA440" s="325"/>
      <c r="AB440" s="324"/>
      <c r="AC440" s="323"/>
      <c r="AD440" s="324"/>
      <c r="AE440" s="325"/>
      <c r="AF440" s="324"/>
      <c r="AG440" s="323"/>
      <c r="AH440" s="324"/>
      <c r="AI440" s="325"/>
      <c r="AJ440" s="324"/>
      <c r="AK440" s="323"/>
      <c r="AL440" s="324"/>
      <c r="AM440" s="325"/>
      <c r="AN440" s="324"/>
    </row>
    <row r="441" spans="1:40">
      <c r="A441" s="182" t="s">
        <v>214</v>
      </c>
      <c r="B441" s="183" t="s">
        <v>340</v>
      </c>
      <c r="C441" s="182">
        <v>375683</v>
      </c>
      <c r="D441" s="144">
        <v>13</v>
      </c>
      <c r="E441" s="323">
        <v>1125</v>
      </c>
      <c r="F441" s="324">
        <v>1125</v>
      </c>
      <c r="G441" s="325"/>
      <c r="H441" s="324"/>
      <c r="I441" s="323"/>
      <c r="J441" s="324"/>
      <c r="K441" s="325"/>
      <c r="L441" s="324"/>
      <c r="M441" s="323"/>
      <c r="N441" s="324"/>
      <c r="O441" s="325"/>
      <c r="P441" s="324"/>
      <c r="Q441" s="323"/>
      <c r="R441" s="324"/>
      <c r="S441" s="325"/>
      <c r="T441" s="324"/>
      <c r="U441" s="323"/>
      <c r="V441" s="324"/>
      <c r="W441" s="325"/>
      <c r="X441" s="324"/>
      <c r="Y441" s="323"/>
      <c r="Z441" s="324"/>
      <c r="AA441" s="325"/>
      <c r="AB441" s="324"/>
      <c r="AC441" s="323"/>
      <c r="AD441" s="324"/>
      <c r="AE441" s="325"/>
      <c r="AF441" s="324"/>
      <c r="AG441" s="323"/>
      <c r="AH441" s="324"/>
      <c r="AI441" s="325"/>
      <c r="AJ441" s="324"/>
      <c r="AK441" s="323"/>
      <c r="AL441" s="324"/>
      <c r="AM441" s="325"/>
      <c r="AN441" s="324"/>
    </row>
    <row r="442" spans="1:40">
      <c r="A442" s="182" t="s">
        <v>214</v>
      </c>
      <c r="B442" s="183" t="s">
        <v>341</v>
      </c>
      <c r="C442" s="182">
        <v>428019</v>
      </c>
      <c r="D442" s="144">
        <v>13</v>
      </c>
      <c r="E442" s="323">
        <v>2350</v>
      </c>
      <c r="F442" s="324">
        <v>2250</v>
      </c>
      <c r="G442" s="325">
        <v>4600</v>
      </c>
      <c r="H442" s="324">
        <v>4500</v>
      </c>
      <c r="I442" s="323"/>
      <c r="J442" s="324"/>
      <c r="K442" s="325"/>
      <c r="L442" s="324"/>
      <c r="M442" s="323"/>
      <c r="N442" s="324"/>
      <c r="O442" s="325"/>
      <c r="P442" s="324"/>
      <c r="Q442" s="323"/>
      <c r="R442" s="324"/>
      <c r="S442" s="325"/>
      <c r="T442" s="324"/>
      <c r="U442" s="323"/>
      <c r="V442" s="324"/>
      <c r="W442" s="325"/>
      <c r="X442" s="324"/>
      <c r="Y442" s="323"/>
      <c r="Z442" s="324"/>
      <c r="AA442" s="325"/>
      <c r="AB442" s="324"/>
      <c r="AC442" s="323"/>
      <c r="AD442" s="324"/>
      <c r="AE442" s="325"/>
      <c r="AF442" s="324"/>
      <c r="AG442" s="323"/>
      <c r="AH442" s="324"/>
      <c r="AI442" s="325"/>
      <c r="AJ442" s="324"/>
      <c r="AK442" s="323"/>
      <c r="AL442" s="324"/>
      <c r="AM442" s="325"/>
      <c r="AN442" s="324"/>
    </row>
    <row r="443" spans="1:40">
      <c r="A443" s="571" t="s">
        <v>214</v>
      </c>
      <c r="B443" s="183" t="s">
        <v>342</v>
      </c>
      <c r="C443" s="182">
        <v>208053</v>
      </c>
      <c r="D443" s="144">
        <v>13</v>
      </c>
      <c r="E443" s="323">
        <v>1125</v>
      </c>
      <c r="F443" s="324">
        <v>1125</v>
      </c>
      <c r="G443" s="325">
        <v>2250</v>
      </c>
      <c r="H443" s="324">
        <v>2250</v>
      </c>
      <c r="I443" s="323"/>
      <c r="J443" s="324"/>
      <c r="K443" s="325"/>
      <c r="L443" s="324"/>
      <c r="M443" s="323"/>
      <c r="N443" s="324"/>
      <c r="O443" s="325"/>
      <c r="P443" s="324"/>
      <c r="Q443" s="323"/>
      <c r="R443" s="324"/>
      <c r="S443" s="325"/>
      <c r="T443" s="324"/>
      <c r="U443" s="323"/>
      <c r="V443" s="324"/>
      <c r="W443" s="325"/>
      <c r="X443" s="324"/>
      <c r="Y443" s="323"/>
      <c r="Z443" s="324"/>
      <c r="AA443" s="325"/>
      <c r="AB443" s="324"/>
      <c r="AC443" s="323"/>
      <c r="AD443" s="324"/>
      <c r="AE443" s="325"/>
      <c r="AF443" s="324"/>
      <c r="AG443" s="323"/>
      <c r="AH443" s="324"/>
      <c r="AI443" s="325"/>
      <c r="AJ443" s="324"/>
      <c r="AK443" s="323"/>
      <c r="AL443" s="324"/>
      <c r="AM443" s="325"/>
      <c r="AN443" s="324"/>
    </row>
    <row r="444" spans="1:40">
      <c r="A444" s="571" t="s">
        <v>214</v>
      </c>
      <c r="B444" s="183" t="s">
        <v>343</v>
      </c>
      <c r="C444" s="182">
        <v>418296</v>
      </c>
      <c r="D444" s="144">
        <v>13</v>
      </c>
      <c r="E444" s="323">
        <v>900</v>
      </c>
      <c r="F444" s="324">
        <v>900</v>
      </c>
      <c r="G444" s="325">
        <v>1800</v>
      </c>
      <c r="H444" s="324">
        <v>1800</v>
      </c>
      <c r="I444" s="323"/>
      <c r="J444" s="324"/>
      <c r="K444" s="325"/>
      <c r="L444" s="324"/>
      <c r="M444" s="323"/>
      <c r="N444" s="324"/>
      <c r="O444" s="325"/>
      <c r="P444" s="324"/>
      <c r="Q444" s="323"/>
      <c r="R444" s="324"/>
      <c r="S444" s="325"/>
      <c r="T444" s="324"/>
      <c r="U444" s="323"/>
      <c r="V444" s="324"/>
      <c r="W444" s="325"/>
      <c r="X444" s="324"/>
      <c r="Y444" s="323"/>
      <c r="Z444" s="324"/>
      <c r="AA444" s="325"/>
      <c r="AB444" s="324"/>
      <c r="AC444" s="323"/>
      <c r="AD444" s="324"/>
      <c r="AE444" s="325"/>
      <c r="AF444" s="324"/>
      <c r="AG444" s="323"/>
      <c r="AH444" s="324"/>
      <c r="AI444" s="325"/>
      <c r="AJ444" s="324"/>
      <c r="AK444" s="323"/>
      <c r="AL444" s="324"/>
      <c r="AM444" s="325"/>
      <c r="AN444" s="324"/>
    </row>
    <row r="445" spans="1:40">
      <c r="A445" s="571" t="s">
        <v>214</v>
      </c>
      <c r="B445" s="183" t="s">
        <v>199</v>
      </c>
      <c r="C445" s="182">
        <v>421540</v>
      </c>
      <c r="D445" s="144">
        <v>13</v>
      </c>
      <c r="E445" s="323">
        <v>900</v>
      </c>
      <c r="F445" s="324">
        <v>900</v>
      </c>
      <c r="G445" s="325">
        <v>1800</v>
      </c>
      <c r="H445" s="324">
        <v>1800</v>
      </c>
      <c r="I445" s="323"/>
      <c r="J445" s="324"/>
      <c r="K445" s="325"/>
      <c r="L445" s="324"/>
      <c r="M445" s="323"/>
      <c r="N445" s="324"/>
      <c r="O445" s="325"/>
      <c r="P445" s="324"/>
      <c r="Q445" s="323"/>
      <c r="R445" s="324"/>
      <c r="S445" s="325"/>
      <c r="T445" s="324"/>
      <c r="U445" s="323"/>
      <c r="V445" s="324"/>
      <c r="W445" s="325"/>
      <c r="X445" s="324"/>
      <c r="Y445" s="323"/>
      <c r="Z445" s="324"/>
      <c r="AA445" s="325"/>
      <c r="AB445" s="324"/>
      <c r="AC445" s="323"/>
      <c r="AD445" s="324"/>
      <c r="AE445" s="325"/>
      <c r="AF445" s="324"/>
      <c r="AG445" s="323"/>
      <c r="AH445" s="324"/>
      <c r="AI445" s="325"/>
      <c r="AJ445" s="324"/>
      <c r="AK445" s="323"/>
      <c r="AL445" s="324"/>
      <c r="AM445" s="325"/>
      <c r="AN445" s="324"/>
    </row>
    <row r="446" spans="1:40">
      <c r="A446" s="569" t="s">
        <v>214</v>
      </c>
      <c r="B446" s="183" t="s">
        <v>354</v>
      </c>
      <c r="C446" s="182">
        <v>421559</v>
      </c>
      <c r="D446" s="144">
        <v>13</v>
      </c>
      <c r="E446" s="323">
        <v>900</v>
      </c>
      <c r="F446" s="324">
        <v>900</v>
      </c>
      <c r="G446" s="325">
        <v>1800</v>
      </c>
      <c r="H446" s="324">
        <v>1800</v>
      </c>
      <c r="I446" s="323"/>
      <c r="J446" s="324"/>
      <c r="K446" s="325"/>
      <c r="L446" s="324"/>
      <c r="M446" s="323"/>
      <c r="N446" s="324"/>
      <c r="O446" s="325"/>
      <c r="P446" s="324"/>
      <c r="Q446" s="323"/>
      <c r="R446" s="324"/>
      <c r="S446" s="325"/>
      <c r="T446" s="324"/>
      <c r="U446" s="323"/>
      <c r="V446" s="324"/>
      <c r="W446" s="325"/>
      <c r="X446" s="324"/>
      <c r="Y446" s="323"/>
      <c r="Z446" s="324"/>
      <c r="AA446" s="325"/>
      <c r="AB446" s="324"/>
      <c r="AC446" s="323"/>
      <c r="AD446" s="324"/>
      <c r="AE446" s="325"/>
      <c r="AF446" s="324"/>
      <c r="AG446" s="323"/>
      <c r="AH446" s="324"/>
      <c r="AI446" s="325"/>
      <c r="AJ446" s="324"/>
      <c r="AK446" s="323"/>
      <c r="AL446" s="324"/>
      <c r="AM446" s="325"/>
      <c r="AN446" s="324"/>
    </row>
    <row r="447" spans="1:40">
      <c r="A447" s="569" t="s">
        <v>214</v>
      </c>
      <c r="B447" s="183" t="s">
        <v>355</v>
      </c>
      <c r="C447" s="182">
        <v>208026</v>
      </c>
      <c r="D447" s="144">
        <v>13</v>
      </c>
      <c r="E447" s="323">
        <v>900</v>
      </c>
      <c r="F447" s="324">
        <v>900</v>
      </c>
      <c r="G447" s="325">
        <v>1800</v>
      </c>
      <c r="H447" s="324">
        <v>1800</v>
      </c>
      <c r="I447" s="323"/>
      <c r="J447" s="324"/>
      <c r="K447" s="325"/>
      <c r="L447" s="324"/>
      <c r="M447" s="323"/>
      <c r="N447" s="324"/>
      <c r="O447" s="325"/>
      <c r="P447" s="324"/>
      <c r="Q447" s="323"/>
      <c r="R447" s="324"/>
      <c r="S447" s="325"/>
      <c r="T447" s="324"/>
      <c r="U447" s="323"/>
      <c r="V447" s="324"/>
      <c r="W447" s="325"/>
      <c r="X447" s="324"/>
      <c r="Y447" s="323"/>
      <c r="Z447" s="324"/>
      <c r="AA447" s="325"/>
      <c r="AB447" s="324"/>
      <c r="AC447" s="323"/>
      <c r="AD447" s="324"/>
      <c r="AE447" s="325"/>
      <c r="AF447" s="324"/>
      <c r="AG447" s="323"/>
      <c r="AH447" s="324"/>
      <c r="AI447" s="325"/>
      <c r="AJ447" s="324"/>
      <c r="AK447" s="323"/>
      <c r="AL447" s="324"/>
      <c r="AM447" s="325"/>
      <c r="AN447" s="324"/>
    </row>
    <row r="448" spans="1:40">
      <c r="A448" s="569" t="s">
        <v>214</v>
      </c>
      <c r="B448" s="183" t="s">
        <v>356</v>
      </c>
      <c r="C448" s="182">
        <v>375692</v>
      </c>
      <c r="D448" s="144">
        <v>13</v>
      </c>
      <c r="E448" s="323">
        <v>1125</v>
      </c>
      <c r="F448" s="324">
        <v>1125</v>
      </c>
      <c r="G448" s="325">
        <v>2250</v>
      </c>
      <c r="H448" s="324">
        <v>2250</v>
      </c>
      <c r="I448" s="323"/>
      <c r="J448" s="324"/>
      <c r="K448" s="325"/>
      <c r="L448" s="324"/>
      <c r="M448" s="323"/>
      <c r="N448" s="324"/>
      <c r="O448" s="325"/>
      <c r="P448" s="324"/>
      <c r="Q448" s="323"/>
      <c r="R448" s="324"/>
      <c r="S448" s="325"/>
      <c r="T448" s="324"/>
      <c r="U448" s="323"/>
      <c r="V448" s="324"/>
      <c r="W448" s="325"/>
      <c r="X448" s="324"/>
      <c r="Y448" s="323"/>
      <c r="Z448" s="324"/>
      <c r="AA448" s="325"/>
      <c r="AB448" s="324"/>
      <c r="AC448" s="323"/>
      <c r="AD448" s="324"/>
      <c r="AE448" s="325"/>
      <c r="AF448" s="324"/>
      <c r="AG448" s="323"/>
      <c r="AH448" s="324"/>
      <c r="AI448" s="325"/>
      <c r="AJ448" s="324"/>
      <c r="AK448" s="323"/>
      <c r="AL448" s="324"/>
      <c r="AM448" s="325"/>
      <c r="AN448" s="324"/>
    </row>
    <row r="449" spans="1:40">
      <c r="A449" s="569" t="s">
        <v>214</v>
      </c>
      <c r="B449" s="183" t="s">
        <v>357</v>
      </c>
      <c r="C449" s="182">
        <v>375708</v>
      </c>
      <c r="D449" s="144">
        <v>13</v>
      </c>
      <c r="E449" s="323">
        <v>1125</v>
      </c>
      <c r="F449" s="324">
        <v>1125</v>
      </c>
      <c r="G449" s="325">
        <v>2250</v>
      </c>
      <c r="H449" s="324">
        <v>2250</v>
      </c>
      <c r="I449" s="323"/>
      <c r="J449" s="324"/>
      <c r="K449" s="325"/>
      <c r="L449" s="324"/>
      <c r="M449" s="323"/>
      <c r="N449" s="324"/>
      <c r="O449" s="325"/>
      <c r="P449" s="324"/>
      <c r="Q449" s="323"/>
      <c r="R449" s="324"/>
      <c r="S449" s="325"/>
      <c r="T449" s="324"/>
      <c r="U449" s="323"/>
      <c r="V449" s="324"/>
      <c r="W449" s="325"/>
      <c r="X449" s="324"/>
      <c r="Y449" s="323"/>
      <c r="Z449" s="324"/>
      <c r="AA449" s="325"/>
      <c r="AB449" s="324"/>
      <c r="AC449" s="323"/>
      <c r="AD449" s="324"/>
      <c r="AE449" s="325"/>
      <c r="AF449" s="324"/>
      <c r="AG449" s="323"/>
      <c r="AH449" s="324"/>
      <c r="AI449" s="325"/>
      <c r="AJ449" s="324"/>
      <c r="AK449" s="323"/>
      <c r="AL449" s="324"/>
      <c r="AM449" s="325"/>
      <c r="AN449" s="324"/>
    </row>
    <row r="450" spans="1:40">
      <c r="A450" s="569" t="s">
        <v>214</v>
      </c>
      <c r="B450" s="183" t="s">
        <v>358</v>
      </c>
      <c r="C450" s="182">
        <v>375717</v>
      </c>
      <c r="D450" s="144">
        <v>13</v>
      </c>
      <c r="E450" s="323">
        <v>1125</v>
      </c>
      <c r="F450" s="324">
        <v>1125</v>
      </c>
      <c r="G450" s="325">
        <v>2250</v>
      </c>
      <c r="H450" s="324">
        <v>2250</v>
      </c>
      <c r="I450" s="323"/>
      <c r="J450" s="324"/>
      <c r="K450" s="325"/>
      <c r="L450" s="324"/>
      <c r="M450" s="323"/>
      <c r="N450" s="324"/>
      <c r="O450" s="325"/>
      <c r="P450" s="324"/>
      <c r="Q450" s="323"/>
      <c r="R450" s="324"/>
      <c r="S450" s="325"/>
      <c r="T450" s="324"/>
      <c r="U450" s="323"/>
      <c r="V450" s="324"/>
      <c r="W450" s="325"/>
      <c r="X450" s="324"/>
      <c r="Y450" s="323"/>
      <c r="Z450" s="324"/>
      <c r="AA450" s="325"/>
      <c r="AB450" s="324"/>
      <c r="AC450" s="323"/>
      <c r="AD450" s="324"/>
      <c r="AE450" s="325"/>
      <c r="AF450" s="324"/>
      <c r="AG450" s="323"/>
      <c r="AH450" s="324"/>
      <c r="AI450" s="325"/>
      <c r="AJ450" s="324"/>
      <c r="AK450" s="323"/>
      <c r="AL450" s="324"/>
      <c r="AM450" s="325"/>
      <c r="AN450" s="324"/>
    </row>
    <row r="451" spans="1:40">
      <c r="A451" s="569" t="s">
        <v>214</v>
      </c>
      <c r="B451" s="183" t="s">
        <v>359</v>
      </c>
      <c r="C451" s="182">
        <v>375735</v>
      </c>
      <c r="D451" s="144">
        <v>13</v>
      </c>
      <c r="E451" s="323">
        <v>1125</v>
      </c>
      <c r="F451" s="324">
        <v>1125</v>
      </c>
      <c r="G451" s="325">
        <v>2250</v>
      </c>
      <c r="H451" s="324">
        <v>2250</v>
      </c>
      <c r="I451" s="323"/>
      <c r="J451" s="324"/>
      <c r="K451" s="325"/>
      <c r="L451" s="324"/>
      <c r="M451" s="323"/>
      <c r="N451" s="324"/>
      <c r="O451" s="325"/>
      <c r="P451" s="324"/>
      <c r="Q451" s="323"/>
      <c r="R451" s="324"/>
      <c r="S451" s="325"/>
      <c r="T451" s="324"/>
      <c r="U451" s="323"/>
      <c r="V451" s="324"/>
      <c r="W451" s="325"/>
      <c r="X451" s="324"/>
      <c r="Y451" s="323"/>
      <c r="Z451" s="324"/>
      <c r="AA451" s="325"/>
      <c r="AB451" s="324"/>
      <c r="AC451" s="323"/>
      <c r="AD451" s="324"/>
      <c r="AE451" s="325"/>
      <c r="AF451" s="324"/>
      <c r="AG451" s="323"/>
      <c r="AH451" s="324"/>
      <c r="AI451" s="325"/>
      <c r="AJ451" s="324"/>
      <c r="AK451" s="323"/>
      <c r="AL451" s="324"/>
      <c r="AM451" s="325"/>
      <c r="AN451" s="324"/>
    </row>
    <row r="452" spans="1:40">
      <c r="A452" s="569" t="s">
        <v>214</v>
      </c>
      <c r="B452" s="183" t="s">
        <v>360</v>
      </c>
      <c r="C452" s="182">
        <v>375726</v>
      </c>
      <c r="D452" s="144">
        <v>13</v>
      </c>
      <c r="E452" s="323">
        <v>1125</v>
      </c>
      <c r="F452" s="324">
        <v>1125</v>
      </c>
      <c r="G452" s="325">
        <v>2250</v>
      </c>
      <c r="H452" s="324">
        <v>2250</v>
      </c>
      <c r="I452" s="323"/>
      <c r="J452" s="324"/>
      <c r="K452" s="325"/>
      <c r="L452" s="324"/>
      <c r="M452" s="323"/>
      <c r="N452" s="324"/>
      <c r="O452" s="325"/>
      <c r="P452" s="324"/>
      <c r="Q452" s="323"/>
      <c r="R452" s="324"/>
      <c r="S452" s="325"/>
      <c r="T452" s="324"/>
      <c r="U452" s="323"/>
      <c r="V452" s="324"/>
      <c r="W452" s="325"/>
      <c r="X452" s="324"/>
      <c r="Y452" s="323"/>
      <c r="Z452" s="324"/>
      <c r="AA452" s="325"/>
      <c r="AB452" s="324"/>
      <c r="AC452" s="323"/>
      <c r="AD452" s="324"/>
      <c r="AE452" s="325"/>
      <c r="AF452" s="324"/>
      <c r="AG452" s="323"/>
      <c r="AH452" s="324"/>
      <c r="AI452" s="325"/>
      <c r="AJ452" s="324"/>
      <c r="AK452" s="323"/>
      <c r="AL452" s="324"/>
      <c r="AM452" s="325"/>
      <c r="AN452" s="324"/>
    </row>
    <row r="453" spans="1:40">
      <c r="A453" s="569" t="s">
        <v>214</v>
      </c>
      <c r="B453" s="183" t="s">
        <v>361</v>
      </c>
      <c r="C453" s="182">
        <v>375744</v>
      </c>
      <c r="D453" s="144">
        <v>13</v>
      </c>
      <c r="E453" s="323">
        <v>1125</v>
      </c>
      <c r="F453" s="324">
        <v>1125</v>
      </c>
      <c r="G453" s="325">
        <v>2250</v>
      </c>
      <c r="H453" s="324">
        <v>2250</v>
      </c>
      <c r="I453" s="323"/>
      <c r="J453" s="324"/>
      <c r="K453" s="325"/>
      <c r="L453" s="324"/>
      <c r="M453" s="323"/>
      <c r="N453" s="324"/>
      <c r="O453" s="325"/>
      <c r="P453" s="324"/>
      <c r="Q453" s="323"/>
      <c r="R453" s="324"/>
      <c r="S453" s="325"/>
      <c r="T453" s="324"/>
      <c r="U453" s="323"/>
      <c r="V453" s="324"/>
      <c r="W453" s="325"/>
      <c r="X453" s="324"/>
      <c r="Y453" s="323"/>
      <c r="Z453" s="324"/>
      <c r="AA453" s="325"/>
      <c r="AB453" s="324"/>
      <c r="AC453" s="323"/>
      <c r="AD453" s="324"/>
      <c r="AE453" s="325"/>
      <c r="AF453" s="324"/>
      <c r="AG453" s="323"/>
      <c r="AH453" s="324"/>
      <c r="AI453" s="325"/>
      <c r="AJ453" s="324"/>
      <c r="AK453" s="323"/>
      <c r="AL453" s="324"/>
      <c r="AM453" s="325"/>
      <c r="AN453" s="324"/>
    </row>
    <row r="454" spans="1:40">
      <c r="A454" s="569" t="s">
        <v>214</v>
      </c>
      <c r="B454" s="183" t="s">
        <v>362</v>
      </c>
      <c r="C454" s="182">
        <v>375753</v>
      </c>
      <c r="D454" s="144">
        <v>13</v>
      </c>
      <c r="E454" s="323">
        <v>1125</v>
      </c>
      <c r="F454" s="324">
        <v>1125</v>
      </c>
      <c r="G454" s="325">
        <v>2250</v>
      </c>
      <c r="H454" s="324">
        <v>2250</v>
      </c>
      <c r="I454" s="323"/>
      <c r="J454" s="324"/>
      <c r="K454" s="325"/>
      <c r="L454" s="324"/>
      <c r="M454" s="323"/>
      <c r="N454" s="324"/>
      <c r="O454" s="325"/>
      <c r="P454" s="324"/>
      <c r="Q454" s="323"/>
      <c r="R454" s="324"/>
      <c r="S454" s="325"/>
      <c r="T454" s="324"/>
      <c r="U454" s="323"/>
      <c r="V454" s="324"/>
      <c r="W454" s="325"/>
      <c r="X454" s="324"/>
      <c r="Y454" s="323"/>
      <c r="Z454" s="324"/>
      <c r="AA454" s="325"/>
      <c r="AB454" s="324"/>
      <c r="AC454" s="323"/>
      <c r="AD454" s="324"/>
      <c r="AE454" s="325"/>
      <c r="AF454" s="324"/>
      <c r="AG454" s="323"/>
      <c r="AH454" s="324"/>
      <c r="AI454" s="325"/>
      <c r="AJ454" s="324"/>
      <c r="AK454" s="323"/>
      <c r="AL454" s="324"/>
      <c r="AM454" s="325"/>
      <c r="AN454" s="324"/>
    </row>
    <row r="455" spans="1:40">
      <c r="A455" s="569" t="s">
        <v>214</v>
      </c>
      <c r="B455" s="183" t="s">
        <v>363</v>
      </c>
      <c r="C455" s="182">
        <v>405748</v>
      </c>
      <c r="D455" s="144">
        <v>13</v>
      </c>
      <c r="E455" s="323">
        <v>1125</v>
      </c>
      <c r="F455" s="324">
        <v>1125</v>
      </c>
      <c r="G455" s="325">
        <v>2250</v>
      </c>
      <c r="H455" s="324">
        <v>2250</v>
      </c>
      <c r="I455" s="323"/>
      <c r="J455" s="324"/>
      <c r="K455" s="325"/>
      <c r="L455" s="324"/>
      <c r="M455" s="323"/>
      <c r="N455" s="324"/>
      <c r="O455" s="325"/>
      <c r="P455" s="324"/>
      <c r="Q455" s="323"/>
      <c r="R455" s="324"/>
      <c r="S455" s="325"/>
      <c r="T455" s="324"/>
      <c r="U455" s="323"/>
      <c r="V455" s="324"/>
      <c r="W455" s="325"/>
      <c r="X455" s="324"/>
      <c r="Y455" s="323"/>
      <c r="Z455" s="324"/>
      <c r="AA455" s="325"/>
      <c r="AB455" s="324"/>
      <c r="AC455" s="323"/>
      <c r="AD455" s="324"/>
      <c r="AE455" s="325"/>
      <c r="AF455" s="324"/>
      <c r="AG455" s="323"/>
      <c r="AH455" s="324"/>
      <c r="AI455" s="325"/>
      <c r="AJ455" s="324"/>
      <c r="AK455" s="323"/>
      <c r="AL455" s="324"/>
      <c r="AM455" s="325"/>
      <c r="AN455" s="324"/>
    </row>
    <row r="456" spans="1:40">
      <c r="A456" s="569" t="s">
        <v>214</v>
      </c>
      <c r="B456" s="183" t="s">
        <v>364</v>
      </c>
      <c r="C456" s="182">
        <v>375762</v>
      </c>
      <c r="D456" s="144">
        <v>13</v>
      </c>
      <c r="E456" s="323">
        <v>1125</v>
      </c>
      <c r="F456" s="324">
        <v>1125</v>
      </c>
      <c r="G456" s="325">
        <v>2250</v>
      </c>
      <c r="H456" s="324">
        <v>2250</v>
      </c>
      <c r="I456" s="323"/>
      <c r="J456" s="324"/>
      <c r="K456" s="325"/>
      <c r="L456" s="324"/>
      <c r="M456" s="323"/>
      <c r="N456" s="324"/>
      <c r="O456" s="325"/>
      <c r="P456" s="324"/>
      <c r="Q456" s="323"/>
      <c r="R456" s="324"/>
      <c r="S456" s="325"/>
      <c r="T456" s="324"/>
      <c r="U456" s="323"/>
      <c r="V456" s="324"/>
      <c r="W456" s="325"/>
      <c r="X456" s="324"/>
      <c r="Y456" s="323"/>
      <c r="Z456" s="324"/>
      <c r="AA456" s="325"/>
      <c r="AB456" s="324"/>
      <c r="AC456" s="323"/>
      <c r="AD456" s="324"/>
      <c r="AE456" s="325"/>
      <c r="AF456" s="324"/>
      <c r="AG456" s="323"/>
      <c r="AH456" s="324"/>
      <c r="AI456" s="325"/>
      <c r="AJ456" s="324"/>
      <c r="AK456" s="323"/>
      <c r="AL456" s="324"/>
      <c r="AM456" s="325"/>
      <c r="AN456" s="324"/>
    </row>
    <row r="457" spans="1:40">
      <c r="A457" s="569" t="s">
        <v>214</v>
      </c>
      <c r="B457" s="183" t="s">
        <v>365</v>
      </c>
      <c r="C457" s="182">
        <v>365480</v>
      </c>
      <c r="D457" s="144">
        <v>13</v>
      </c>
      <c r="E457" s="323">
        <v>1800</v>
      </c>
      <c r="F457" s="324">
        <v>1800</v>
      </c>
      <c r="G457" s="325">
        <v>4743</v>
      </c>
      <c r="H457" s="324">
        <v>4743</v>
      </c>
      <c r="I457" s="323"/>
      <c r="J457" s="324"/>
      <c r="K457" s="325"/>
      <c r="L457" s="324"/>
      <c r="M457" s="323"/>
      <c r="N457" s="324"/>
      <c r="O457" s="325"/>
      <c r="P457" s="324"/>
      <c r="Q457" s="323"/>
      <c r="R457" s="324"/>
      <c r="S457" s="325"/>
      <c r="T457" s="324"/>
      <c r="U457" s="323"/>
      <c r="V457" s="324"/>
      <c r="W457" s="325"/>
      <c r="X457" s="324"/>
      <c r="Y457" s="323"/>
      <c r="Z457" s="324"/>
      <c r="AA457" s="325"/>
      <c r="AB457" s="324"/>
      <c r="AC457" s="323"/>
      <c r="AD457" s="324"/>
      <c r="AE457" s="325"/>
      <c r="AF457" s="324"/>
      <c r="AG457" s="323"/>
      <c r="AH457" s="324"/>
      <c r="AI457" s="325"/>
      <c r="AJ457" s="324"/>
      <c r="AK457" s="323"/>
      <c r="AL457" s="324"/>
      <c r="AM457" s="325"/>
      <c r="AN457" s="324"/>
    </row>
    <row r="458" spans="1:40">
      <c r="A458" s="182" t="s">
        <v>214</v>
      </c>
      <c r="B458" s="183" t="s">
        <v>366</v>
      </c>
      <c r="C458" s="182">
        <v>418320</v>
      </c>
      <c r="D458" s="144">
        <v>13</v>
      </c>
      <c r="E458" s="323">
        <v>900</v>
      </c>
      <c r="F458" s="324">
        <v>900</v>
      </c>
      <c r="G458" s="325"/>
      <c r="H458" s="324"/>
      <c r="I458" s="323"/>
      <c r="J458" s="324"/>
      <c r="K458" s="325"/>
      <c r="L458" s="324"/>
      <c r="M458" s="323"/>
      <c r="N458" s="324"/>
      <c r="O458" s="325"/>
      <c r="P458" s="324"/>
      <c r="Q458" s="323"/>
      <c r="R458" s="324"/>
      <c r="S458" s="325"/>
      <c r="T458" s="324"/>
      <c r="U458" s="323"/>
      <c r="V458" s="324"/>
      <c r="W458" s="325"/>
      <c r="X458" s="324"/>
      <c r="Y458" s="323"/>
      <c r="Z458" s="324"/>
      <c r="AA458" s="325"/>
      <c r="AB458" s="324"/>
      <c r="AC458" s="323"/>
      <c r="AD458" s="324"/>
      <c r="AE458" s="325"/>
      <c r="AF458" s="324"/>
      <c r="AG458" s="323"/>
      <c r="AH458" s="324"/>
      <c r="AI458" s="325"/>
      <c r="AJ458" s="324"/>
      <c r="AK458" s="323"/>
      <c r="AL458" s="324"/>
      <c r="AM458" s="325"/>
      <c r="AN458" s="324"/>
    </row>
    <row r="459" spans="1:40">
      <c r="A459" s="182" t="s">
        <v>214</v>
      </c>
      <c r="B459" s="183" t="s">
        <v>367</v>
      </c>
      <c r="C459" s="182">
        <v>431017</v>
      </c>
      <c r="D459" s="144">
        <v>13</v>
      </c>
      <c r="E459" s="323">
        <v>1275</v>
      </c>
      <c r="F459" s="324">
        <v>1275</v>
      </c>
      <c r="G459" s="325">
        <v>1275</v>
      </c>
      <c r="H459" s="324">
        <v>1275</v>
      </c>
      <c r="I459" s="323"/>
      <c r="J459" s="324"/>
      <c r="K459" s="325"/>
      <c r="L459" s="324"/>
      <c r="M459" s="323"/>
      <c r="N459" s="324"/>
      <c r="O459" s="325"/>
      <c r="P459" s="324"/>
      <c r="Q459" s="323"/>
      <c r="R459" s="324"/>
      <c r="S459" s="325"/>
      <c r="T459" s="324"/>
      <c r="U459" s="323"/>
      <c r="V459" s="324"/>
      <c r="W459" s="325"/>
      <c r="X459" s="324"/>
      <c r="Y459" s="323"/>
      <c r="Z459" s="324"/>
      <c r="AA459" s="325"/>
      <c r="AB459" s="324"/>
      <c r="AC459" s="323"/>
      <c r="AD459" s="324"/>
      <c r="AE459" s="325"/>
      <c r="AF459" s="324"/>
      <c r="AG459" s="323"/>
      <c r="AH459" s="324"/>
      <c r="AI459" s="325"/>
      <c r="AJ459" s="324"/>
      <c r="AK459" s="323"/>
      <c r="AL459" s="324"/>
      <c r="AM459" s="325"/>
      <c r="AN459" s="324"/>
    </row>
    <row r="460" spans="1:40">
      <c r="A460" s="182" t="s">
        <v>214</v>
      </c>
      <c r="B460" s="362" t="s">
        <v>332</v>
      </c>
      <c r="C460" s="363">
        <v>248606</v>
      </c>
      <c r="D460" s="364">
        <v>13</v>
      </c>
      <c r="E460" s="323">
        <v>1080</v>
      </c>
      <c r="F460" s="324">
        <v>1080</v>
      </c>
      <c r="G460" s="325"/>
      <c r="H460" s="324"/>
      <c r="I460" s="323"/>
      <c r="J460" s="324"/>
      <c r="K460" s="325"/>
      <c r="L460" s="324"/>
      <c r="M460" s="323"/>
      <c r="N460" s="324"/>
      <c r="O460" s="325"/>
      <c r="P460" s="324"/>
      <c r="Q460" s="323"/>
      <c r="R460" s="324"/>
      <c r="S460" s="325"/>
      <c r="T460" s="324"/>
      <c r="U460" s="323"/>
      <c r="V460" s="324"/>
      <c r="W460" s="325"/>
      <c r="X460" s="324"/>
      <c r="Y460" s="323"/>
      <c r="Z460" s="324"/>
      <c r="AA460" s="325"/>
      <c r="AB460" s="324"/>
      <c r="AC460" s="323"/>
      <c r="AD460" s="324"/>
      <c r="AE460" s="325"/>
      <c r="AF460" s="324"/>
      <c r="AG460" s="323"/>
      <c r="AH460" s="324"/>
      <c r="AI460" s="325"/>
      <c r="AJ460" s="324"/>
      <c r="AK460" s="323"/>
      <c r="AL460" s="324"/>
      <c r="AM460" s="325"/>
      <c r="AN460" s="324"/>
    </row>
    <row r="461" spans="1:40">
      <c r="A461" s="182" t="s">
        <v>214</v>
      </c>
      <c r="B461" s="183" t="s">
        <v>368</v>
      </c>
      <c r="C461" s="182">
        <v>420459</v>
      </c>
      <c r="D461" s="144">
        <v>13</v>
      </c>
      <c r="E461" s="323">
        <v>684</v>
      </c>
      <c r="F461" s="324">
        <v>684</v>
      </c>
      <c r="G461" s="325">
        <v>1368</v>
      </c>
      <c r="H461" s="324">
        <v>1368</v>
      </c>
      <c r="I461" s="323"/>
      <c r="J461" s="324"/>
      <c r="K461" s="325"/>
      <c r="L461" s="324"/>
      <c r="M461" s="323"/>
      <c r="N461" s="324"/>
      <c r="O461" s="325"/>
      <c r="P461" s="324"/>
      <c r="Q461" s="323"/>
      <c r="R461" s="324"/>
      <c r="S461" s="325"/>
      <c r="T461" s="324"/>
      <c r="U461" s="323"/>
      <c r="V461" s="324"/>
      <c r="W461" s="325"/>
      <c r="X461" s="324"/>
      <c r="Y461" s="323"/>
      <c r="Z461" s="324"/>
      <c r="AA461" s="325"/>
      <c r="AB461" s="324"/>
      <c r="AC461" s="323"/>
      <c r="AD461" s="324"/>
      <c r="AE461" s="325"/>
      <c r="AF461" s="324"/>
      <c r="AG461" s="323"/>
      <c r="AH461" s="324"/>
      <c r="AI461" s="325"/>
      <c r="AJ461" s="324"/>
      <c r="AK461" s="323"/>
      <c r="AL461" s="324"/>
      <c r="AM461" s="325"/>
      <c r="AN461" s="324"/>
    </row>
    <row r="462" spans="1:40">
      <c r="A462" s="182" t="s">
        <v>214</v>
      </c>
      <c r="B462" s="183" t="s">
        <v>369</v>
      </c>
      <c r="C462" s="182">
        <v>432074</v>
      </c>
      <c r="D462" s="144">
        <v>13</v>
      </c>
      <c r="E462" s="323">
        <v>684</v>
      </c>
      <c r="F462" s="324">
        <v>684</v>
      </c>
      <c r="G462" s="325">
        <v>1368</v>
      </c>
      <c r="H462" s="324">
        <v>1368</v>
      </c>
      <c r="I462" s="323"/>
      <c r="J462" s="324"/>
      <c r="K462" s="325"/>
      <c r="L462" s="324"/>
      <c r="M462" s="323"/>
      <c r="N462" s="324"/>
      <c r="O462" s="325"/>
      <c r="P462" s="324"/>
      <c r="Q462" s="323"/>
      <c r="R462" s="324"/>
      <c r="S462" s="325"/>
      <c r="T462" s="324"/>
      <c r="U462" s="323"/>
      <c r="V462" s="324"/>
      <c r="W462" s="325"/>
      <c r="X462" s="324"/>
      <c r="Y462" s="323"/>
      <c r="Z462" s="324"/>
      <c r="AA462" s="325"/>
      <c r="AB462" s="324"/>
      <c r="AC462" s="323"/>
      <c r="AD462" s="324"/>
      <c r="AE462" s="325"/>
      <c r="AF462" s="324"/>
      <c r="AG462" s="323"/>
      <c r="AH462" s="324"/>
      <c r="AI462" s="325"/>
      <c r="AJ462" s="324"/>
      <c r="AK462" s="323"/>
      <c r="AL462" s="324"/>
      <c r="AM462" s="325"/>
      <c r="AN462" s="324"/>
    </row>
    <row r="463" spans="1:40">
      <c r="A463" s="182" t="s">
        <v>214</v>
      </c>
      <c r="B463" s="183" t="s">
        <v>370</v>
      </c>
      <c r="C463" s="182">
        <v>418339</v>
      </c>
      <c r="D463" s="144">
        <v>13</v>
      </c>
      <c r="E463" s="323">
        <v>684</v>
      </c>
      <c r="F463" s="324">
        <v>684</v>
      </c>
      <c r="G463" s="325">
        <v>1368</v>
      </c>
      <c r="H463" s="324">
        <v>1368</v>
      </c>
      <c r="I463" s="323"/>
      <c r="J463" s="324"/>
      <c r="K463" s="325"/>
      <c r="L463" s="324"/>
      <c r="M463" s="323"/>
      <c r="N463" s="324"/>
      <c r="O463" s="325"/>
      <c r="P463" s="324"/>
      <c r="Q463" s="323"/>
      <c r="R463" s="324"/>
      <c r="S463" s="325"/>
      <c r="T463" s="324"/>
      <c r="U463" s="323"/>
      <c r="V463" s="324"/>
      <c r="W463" s="325"/>
      <c r="X463" s="324"/>
      <c r="Y463" s="323"/>
      <c r="Z463" s="324"/>
      <c r="AA463" s="325"/>
      <c r="AB463" s="324"/>
      <c r="AC463" s="323"/>
      <c r="AD463" s="324"/>
      <c r="AE463" s="325"/>
      <c r="AF463" s="324"/>
      <c r="AG463" s="323"/>
      <c r="AH463" s="324"/>
      <c r="AI463" s="325"/>
      <c r="AJ463" s="324"/>
      <c r="AK463" s="323"/>
      <c r="AL463" s="324"/>
      <c r="AM463" s="325"/>
      <c r="AN463" s="324"/>
    </row>
    <row r="464" spans="1:40">
      <c r="A464" s="182" t="s">
        <v>214</v>
      </c>
      <c r="B464" s="183" t="s">
        <v>371</v>
      </c>
      <c r="C464" s="182">
        <v>366623</v>
      </c>
      <c r="D464" s="144">
        <v>13</v>
      </c>
      <c r="E464" s="323">
        <v>1350</v>
      </c>
      <c r="F464" s="324">
        <v>1125</v>
      </c>
      <c r="G464" s="325">
        <v>2475</v>
      </c>
      <c r="H464" s="324">
        <v>2250</v>
      </c>
      <c r="I464" s="323"/>
      <c r="J464" s="324"/>
      <c r="K464" s="325"/>
      <c r="L464" s="324"/>
      <c r="M464" s="323"/>
      <c r="N464" s="324"/>
      <c r="O464" s="325"/>
      <c r="P464" s="324"/>
      <c r="Q464" s="323"/>
      <c r="R464" s="324"/>
      <c r="S464" s="325"/>
      <c r="T464" s="324"/>
      <c r="U464" s="323"/>
      <c r="V464" s="324"/>
      <c r="W464" s="325"/>
      <c r="X464" s="324"/>
      <c r="Y464" s="323"/>
      <c r="Z464" s="324"/>
      <c r="AA464" s="325"/>
      <c r="AB464" s="324"/>
      <c r="AC464" s="323"/>
      <c r="AD464" s="324"/>
      <c r="AE464" s="325"/>
      <c r="AF464" s="324"/>
      <c r="AG464" s="323"/>
      <c r="AH464" s="324"/>
      <c r="AI464" s="325"/>
      <c r="AJ464" s="324"/>
      <c r="AK464" s="323"/>
      <c r="AL464" s="324"/>
      <c r="AM464" s="325"/>
      <c r="AN464" s="324"/>
    </row>
    <row r="465" spans="1:45">
      <c r="A465" s="182" t="s">
        <v>214</v>
      </c>
      <c r="B465" s="183" t="s">
        <v>372</v>
      </c>
      <c r="C465" s="182">
        <v>407601</v>
      </c>
      <c r="D465" s="144">
        <v>13</v>
      </c>
      <c r="E465" s="323">
        <v>1350</v>
      </c>
      <c r="F465" s="324">
        <v>1125</v>
      </c>
      <c r="G465" s="325">
        <v>2475</v>
      </c>
      <c r="H465" s="324">
        <v>2250</v>
      </c>
      <c r="I465" s="323"/>
      <c r="J465" s="324"/>
      <c r="K465" s="325"/>
      <c r="L465" s="324"/>
      <c r="M465" s="323"/>
      <c r="N465" s="324"/>
      <c r="O465" s="325"/>
      <c r="P465" s="324"/>
      <c r="Q465" s="323"/>
      <c r="R465" s="324"/>
      <c r="S465" s="325"/>
      <c r="T465" s="324"/>
      <c r="U465" s="323"/>
      <c r="V465" s="324"/>
      <c r="W465" s="325"/>
      <c r="X465" s="324"/>
      <c r="Y465" s="323"/>
      <c r="Z465" s="324"/>
      <c r="AA465" s="325"/>
      <c r="AB465" s="324"/>
      <c r="AC465" s="323"/>
      <c r="AD465" s="324"/>
      <c r="AE465" s="325"/>
      <c r="AF465" s="324"/>
      <c r="AG465" s="323"/>
      <c r="AH465" s="324"/>
      <c r="AI465" s="325"/>
      <c r="AJ465" s="324"/>
      <c r="AK465" s="323"/>
      <c r="AL465" s="324"/>
      <c r="AM465" s="325"/>
      <c r="AN465" s="324"/>
    </row>
    <row r="466" spans="1:45">
      <c r="A466" s="182" t="s">
        <v>214</v>
      </c>
      <c r="B466" s="183" t="s">
        <v>373</v>
      </c>
      <c r="C466" s="182">
        <v>364627</v>
      </c>
      <c r="D466" s="144">
        <v>13</v>
      </c>
      <c r="E466" s="323">
        <v>1150</v>
      </c>
      <c r="F466" s="324">
        <v>1150</v>
      </c>
      <c r="G466" s="325">
        <v>2275</v>
      </c>
      <c r="H466" s="324">
        <v>2275</v>
      </c>
      <c r="I466" s="323"/>
      <c r="J466" s="324"/>
      <c r="K466" s="325"/>
      <c r="L466" s="324"/>
      <c r="M466" s="323"/>
      <c r="N466" s="324"/>
      <c r="O466" s="325"/>
      <c r="P466" s="324"/>
      <c r="Q466" s="323"/>
      <c r="R466" s="324"/>
      <c r="S466" s="325"/>
      <c r="T466" s="324"/>
      <c r="U466" s="323"/>
      <c r="V466" s="324"/>
      <c r="W466" s="325"/>
      <c r="X466" s="324"/>
      <c r="Y466" s="323"/>
      <c r="Z466" s="324"/>
      <c r="AA466" s="325"/>
      <c r="AB466" s="324"/>
      <c r="AC466" s="323"/>
      <c r="AD466" s="324"/>
      <c r="AE466" s="325"/>
      <c r="AF466" s="324"/>
      <c r="AG466" s="323"/>
      <c r="AH466" s="324"/>
      <c r="AI466" s="325"/>
      <c r="AJ466" s="324"/>
      <c r="AK466" s="323"/>
      <c r="AL466" s="324"/>
      <c r="AM466" s="325"/>
      <c r="AN466" s="324"/>
    </row>
    <row r="467" spans="1:45">
      <c r="A467" s="182" t="s">
        <v>214</v>
      </c>
      <c r="B467" s="183" t="s">
        <v>374</v>
      </c>
      <c r="C467" s="182">
        <v>206905</v>
      </c>
      <c r="D467" s="144">
        <v>13</v>
      </c>
      <c r="E467" s="323">
        <v>2495</v>
      </c>
      <c r="F467" s="324">
        <v>2270</v>
      </c>
      <c r="G467" s="325">
        <v>4970</v>
      </c>
      <c r="H467" s="324">
        <v>4520</v>
      </c>
      <c r="I467" s="323"/>
      <c r="J467" s="324"/>
      <c r="K467" s="325"/>
      <c r="L467" s="324"/>
      <c r="M467" s="323"/>
      <c r="N467" s="324"/>
      <c r="O467" s="325"/>
      <c r="P467" s="324"/>
      <c r="Q467" s="323"/>
      <c r="R467" s="324"/>
      <c r="S467" s="325"/>
      <c r="T467" s="324"/>
      <c r="U467" s="323"/>
      <c r="V467" s="324"/>
      <c r="W467" s="325"/>
      <c r="X467" s="324"/>
      <c r="Y467" s="323"/>
      <c r="Z467" s="324"/>
      <c r="AA467" s="325"/>
      <c r="AB467" s="324"/>
      <c r="AC467" s="323"/>
      <c r="AD467" s="324"/>
      <c r="AE467" s="325"/>
      <c r="AF467" s="324"/>
      <c r="AG467" s="323"/>
      <c r="AH467" s="324"/>
      <c r="AI467" s="325"/>
      <c r="AJ467" s="324"/>
      <c r="AK467" s="323"/>
      <c r="AL467" s="324"/>
      <c r="AM467" s="325"/>
      <c r="AN467" s="324"/>
    </row>
    <row r="468" spans="1:45">
      <c r="A468" s="182" t="s">
        <v>214</v>
      </c>
      <c r="B468" s="183" t="s">
        <v>375</v>
      </c>
      <c r="C468" s="182">
        <v>250993</v>
      </c>
      <c r="D468" s="144">
        <v>13</v>
      </c>
      <c r="E468" s="323">
        <v>585</v>
      </c>
      <c r="F468" s="324">
        <v>585</v>
      </c>
      <c r="G468" s="325">
        <v>2187</v>
      </c>
      <c r="H468" s="324">
        <v>2187</v>
      </c>
      <c r="I468" s="323"/>
      <c r="J468" s="324"/>
      <c r="K468" s="325"/>
      <c r="L468" s="324"/>
      <c r="M468" s="323"/>
      <c r="N468" s="324"/>
      <c r="O468" s="325"/>
      <c r="P468" s="324"/>
      <c r="Q468" s="323"/>
      <c r="R468" s="324"/>
      <c r="S468" s="325"/>
      <c r="T468" s="324"/>
      <c r="U468" s="323"/>
      <c r="V468" s="324"/>
      <c r="W468" s="325"/>
      <c r="X468" s="324"/>
      <c r="Y468" s="323"/>
      <c r="Z468" s="324"/>
      <c r="AA468" s="325"/>
      <c r="AB468" s="324"/>
      <c r="AC468" s="323"/>
      <c r="AD468" s="324"/>
      <c r="AE468" s="325"/>
      <c r="AF468" s="324"/>
      <c r="AG468" s="323"/>
      <c r="AH468" s="324"/>
      <c r="AI468" s="325"/>
      <c r="AJ468" s="324"/>
      <c r="AK468" s="323"/>
      <c r="AL468" s="324"/>
      <c r="AM468" s="325"/>
      <c r="AN468" s="324"/>
    </row>
    <row r="469" spans="1:45">
      <c r="A469" s="182" t="s">
        <v>214</v>
      </c>
      <c r="B469" s="183" t="s">
        <v>376</v>
      </c>
      <c r="C469" s="182">
        <v>365198</v>
      </c>
      <c r="D469" s="144">
        <v>13</v>
      </c>
      <c r="E469" s="323">
        <v>1825</v>
      </c>
      <c r="F469" s="324">
        <v>1825</v>
      </c>
      <c r="G469" s="325">
        <v>22525</v>
      </c>
      <c r="H469" s="324">
        <v>22525</v>
      </c>
      <c r="I469" s="323"/>
      <c r="J469" s="324"/>
      <c r="K469" s="325"/>
      <c r="L469" s="324"/>
      <c r="M469" s="323"/>
      <c r="N469" s="324"/>
      <c r="O469" s="325"/>
      <c r="P469" s="324"/>
      <c r="Q469" s="323"/>
      <c r="R469" s="324"/>
      <c r="S469" s="325"/>
      <c r="T469" s="324"/>
      <c r="U469" s="323"/>
      <c r="V469" s="324"/>
      <c r="W469" s="325"/>
      <c r="X469" s="324"/>
      <c r="Y469" s="323"/>
      <c r="Z469" s="324"/>
      <c r="AA469" s="325"/>
      <c r="AB469" s="324"/>
      <c r="AC469" s="323"/>
      <c r="AD469" s="324"/>
      <c r="AE469" s="325"/>
      <c r="AF469" s="324"/>
      <c r="AG469" s="323"/>
      <c r="AH469" s="324"/>
      <c r="AI469" s="325"/>
      <c r="AJ469" s="324"/>
      <c r="AK469" s="323"/>
      <c r="AL469" s="324"/>
      <c r="AM469" s="325"/>
      <c r="AN469" s="324"/>
    </row>
    <row r="470" spans="1:45">
      <c r="A470" s="182" t="s">
        <v>214</v>
      </c>
      <c r="B470" s="183" t="s">
        <v>377</v>
      </c>
      <c r="C470" s="182">
        <v>368364</v>
      </c>
      <c r="D470" s="144">
        <v>13</v>
      </c>
      <c r="E470" s="323">
        <v>1920</v>
      </c>
      <c r="F470" s="324">
        <v>1920</v>
      </c>
      <c r="G470" s="325">
        <v>3810</v>
      </c>
      <c r="H470" s="324">
        <v>3810</v>
      </c>
      <c r="I470" s="323"/>
      <c r="J470" s="324"/>
      <c r="K470" s="325"/>
      <c r="L470" s="324"/>
      <c r="M470" s="323"/>
      <c r="N470" s="324"/>
      <c r="O470" s="325"/>
      <c r="P470" s="324"/>
      <c r="Q470" s="323"/>
      <c r="R470" s="324"/>
      <c r="S470" s="325"/>
      <c r="T470" s="324"/>
      <c r="U470" s="323"/>
      <c r="V470" s="324"/>
      <c r="W470" s="325"/>
      <c r="X470" s="324"/>
      <c r="Y470" s="323"/>
      <c r="Z470" s="324"/>
      <c r="AA470" s="325"/>
      <c r="AB470" s="324"/>
      <c r="AC470" s="323"/>
      <c r="AD470" s="324"/>
      <c r="AE470" s="325"/>
      <c r="AF470" s="324"/>
      <c r="AG470" s="323"/>
      <c r="AH470" s="324"/>
      <c r="AI470" s="325"/>
      <c r="AJ470" s="324"/>
      <c r="AK470" s="323"/>
      <c r="AL470" s="324"/>
      <c r="AM470" s="325"/>
      <c r="AN470" s="324"/>
    </row>
    <row r="471" spans="1:45">
      <c r="A471" s="182" t="s">
        <v>214</v>
      </c>
      <c r="B471" s="183" t="s">
        <v>378</v>
      </c>
      <c r="C471" s="182">
        <v>418287</v>
      </c>
      <c r="D471" s="144">
        <v>13</v>
      </c>
      <c r="E471" s="323">
        <v>1360</v>
      </c>
      <c r="F471" s="324">
        <v>1360</v>
      </c>
      <c r="G471" s="325">
        <v>1810</v>
      </c>
      <c r="H471" s="324">
        <v>1810</v>
      </c>
      <c r="I471" s="323"/>
      <c r="J471" s="324"/>
      <c r="K471" s="325"/>
      <c r="L471" s="324"/>
      <c r="M471" s="323"/>
      <c r="N471" s="324"/>
      <c r="O471" s="325"/>
      <c r="P471" s="324"/>
      <c r="Q471" s="323"/>
      <c r="R471" s="324"/>
      <c r="S471" s="325"/>
      <c r="T471" s="324"/>
      <c r="U471" s="323"/>
      <c r="V471" s="324"/>
      <c r="W471" s="325"/>
      <c r="X471" s="324"/>
      <c r="Y471" s="323"/>
      <c r="Z471" s="324"/>
      <c r="AA471" s="325"/>
      <c r="AB471" s="324"/>
      <c r="AC471" s="323"/>
      <c r="AD471" s="324"/>
      <c r="AE471" s="325"/>
      <c r="AF471" s="324"/>
      <c r="AG471" s="323"/>
      <c r="AH471" s="324"/>
      <c r="AI471" s="325"/>
      <c r="AJ471" s="324"/>
      <c r="AK471" s="323"/>
      <c r="AL471" s="324"/>
      <c r="AM471" s="325"/>
      <c r="AN471" s="324"/>
    </row>
    <row r="472" spans="1:45">
      <c r="A472" s="182" t="s">
        <v>214</v>
      </c>
      <c r="B472" s="185" t="s">
        <v>379</v>
      </c>
      <c r="C472" s="186">
        <v>207607</v>
      </c>
      <c r="D472" s="144">
        <v>13</v>
      </c>
      <c r="E472" s="323">
        <v>2250</v>
      </c>
      <c r="F472" s="324">
        <v>2250</v>
      </c>
      <c r="G472" s="325">
        <v>4500</v>
      </c>
      <c r="H472" s="324">
        <v>4500</v>
      </c>
      <c r="I472" s="323"/>
      <c r="J472" s="324"/>
      <c r="K472" s="325"/>
      <c r="L472" s="324"/>
      <c r="M472" s="323"/>
      <c r="N472" s="324"/>
      <c r="O472" s="325"/>
      <c r="P472" s="324"/>
      <c r="Q472" s="323"/>
      <c r="R472" s="324"/>
      <c r="S472" s="325"/>
      <c r="T472" s="324"/>
      <c r="U472" s="323"/>
      <c r="V472" s="324"/>
      <c r="W472" s="325"/>
      <c r="X472" s="324"/>
      <c r="Y472" s="323"/>
      <c r="Z472" s="324"/>
      <c r="AA472" s="325"/>
      <c r="AB472" s="324"/>
      <c r="AC472" s="323"/>
      <c r="AD472" s="324"/>
      <c r="AE472" s="325"/>
      <c r="AF472" s="324"/>
      <c r="AG472" s="323"/>
      <c r="AH472" s="324"/>
      <c r="AI472" s="325"/>
      <c r="AJ472" s="324"/>
      <c r="AK472" s="323"/>
      <c r="AL472" s="324"/>
      <c r="AM472" s="325"/>
      <c r="AN472" s="324"/>
    </row>
    <row r="473" spans="1:45">
      <c r="A473" s="182" t="s">
        <v>214</v>
      </c>
      <c r="B473" s="185" t="s">
        <v>380</v>
      </c>
      <c r="C473" s="186">
        <v>261375</v>
      </c>
      <c r="D473" s="144">
        <v>13</v>
      </c>
      <c r="E473" s="323">
        <v>2250</v>
      </c>
      <c r="F473" s="324">
        <v>2250</v>
      </c>
      <c r="G473" s="325">
        <v>4500</v>
      </c>
      <c r="H473" s="324">
        <v>4500</v>
      </c>
      <c r="I473" s="323"/>
      <c r="J473" s="324"/>
      <c r="K473" s="325"/>
      <c r="L473" s="324"/>
      <c r="M473" s="323"/>
      <c r="N473" s="324"/>
      <c r="O473" s="325"/>
      <c r="P473" s="324"/>
      <c r="Q473" s="323"/>
      <c r="R473" s="324"/>
      <c r="S473" s="325"/>
      <c r="T473" s="324"/>
      <c r="U473" s="323"/>
      <c r="V473" s="324"/>
      <c r="W473" s="325"/>
      <c r="X473" s="324"/>
      <c r="Y473" s="323"/>
      <c r="Z473" s="324"/>
      <c r="AA473" s="325"/>
      <c r="AB473" s="324"/>
      <c r="AC473" s="323"/>
      <c r="AD473" s="324"/>
      <c r="AE473" s="325"/>
      <c r="AF473" s="324"/>
      <c r="AG473" s="323"/>
      <c r="AH473" s="324"/>
      <c r="AI473" s="325"/>
      <c r="AJ473" s="324"/>
      <c r="AK473" s="323"/>
      <c r="AL473" s="324"/>
      <c r="AM473" s="325"/>
      <c r="AN473" s="324"/>
    </row>
    <row r="474" spans="1:45">
      <c r="A474" s="182" t="s">
        <v>214</v>
      </c>
      <c r="B474" s="183" t="s">
        <v>381</v>
      </c>
      <c r="C474" s="182">
        <v>261384</v>
      </c>
      <c r="D474" s="144">
        <v>13</v>
      </c>
      <c r="E474" s="323">
        <v>2250</v>
      </c>
      <c r="F474" s="324">
        <v>2250</v>
      </c>
      <c r="G474" s="325">
        <v>4500</v>
      </c>
      <c r="H474" s="324">
        <v>4500</v>
      </c>
      <c r="I474" s="323"/>
      <c r="J474" s="324"/>
      <c r="K474" s="325"/>
      <c r="L474" s="324"/>
      <c r="M474" s="323"/>
      <c r="N474" s="324"/>
      <c r="O474" s="325"/>
      <c r="P474" s="324"/>
      <c r="Q474" s="323"/>
      <c r="R474" s="324"/>
      <c r="S474" s="325"/>
      <c r="T474" s="324"/>
      <c r="U474" s="323"/>
      <c r="V474" s="324"/>
      <c r="W474" s="325"/>
      <c r="X474" s="324"/>
      <c r="Y474" s="323"/>
      <c r="Z474" s="324"/>
      <c r="AA474" s="325"/>
      <c r="AB474" s="324"/>
      <c r="AC474" s="323"/>
      <c r="AD474" s="324"/>
      <c r="AE474" s="325"/>
      <c r="AF474" s="324"/>
      <c r="AG474" s="323"/>
      <c r="AH474" s="324"/>
      <c r="AI474" s="325"/>
      <c r="AJ474" s="324"/>
      <c r="AK474" s="323"/>
      <c r="AL474" s="324"/>
      <c r="AM474" s="325"/>
      <c r="AN474" s="324"/>
    </row>
    <row r="475" spans="1:45">
      <c r="A475" s="571" t="s">
        <v>214</v>
      </c>
      <c r="B475" s="183" t="s">
        <v>382</v>
      </c>
      <c r="C475" s="182">
        <v>418357</v>
      </c>
      <c r="D475" s="144">
        <v>13</v>
      </c>
      <c r="E475" s="323">
        <v>2250</v>
      </c>
      <c r="F475" s="324">
        <v>2250</v>
      </c>
      <c r="G475" s="325">
        <v>2520</v>
      </c>
      <c r="H475" s="324">
        <v>2520</v>
      </c>
      <c r="I475" s="323"/>
      <c r="J475" s="324"/>
      <c r="K475" s="325"/>
      <c r="L475" s="324"/>
      <c r="M475" s="323"/>
      <c r="N475" s="324"/>
      <c r="O475" s="325"/>
      <c r="P475" s="324"/>
      <c r="Q475" s="323"/>
      <c r="R475" s="324"/>
      <c r="S475" s="325"/>
      <c r="T475" s="324"/>
      <c r="U475" s="323"/>
      <c r="V475" s="324"/>
      <c r="W475" s="325"/>
      <c r="X475" s="324"/>
      <c r="Y475" s="323"/>
      <c r="Z475" s="324"/>
      <c r="AA475" s="325"/>
      <c r="AB475" s="324"/>
      <c r="AC475" s="323"/>
      <c r="AD475" s="324"/>
      <c r="AE475" s="325"/>
      <c r="AF475" s="324"/>
      <c r="AG475" s="323"/>
      <c r="AH475" s="324"/>
      <c r="AI475" s="325"/>
      <c r="AJ475" s="324"/>
      <c r="AK475" s="323"/>
      <c r="AL475" s="324"/>
      <c r="AM475" s="325"/>
      <c r="AN475" s="324"/>
    </row>
    <row r="476" spans="1:45">
      <c r="A476" s="571" t="s">
        <v>214</v>
      </c>
      <c r="B476" s="183" t="s">
        <v>383</v>
      </c>
      <c r="C476" s="182">
        <v>418302</v>
      </c>
      <c r="D476" s="144">
        <v>13</v>
      </c>
      <c r="E476" s="323">
        <v>1810</v>
      </c>
      <c r="F476" s="324">
        <v>1810</v>
      </c>
      <c r="G476" s="325">
        <v>4372</v>
      </c>
      <c r="H476" s="324">
        <v>4372</v>
      </c>
      <c r="I476" s="323"/>
      <c r="J476" s="324"/>
      <c r="K476" s="325"/>
      <c r="L476" s="324"/>
      <c r="M476" s="323"/>
      <c r="N476" s="324"/>
      <c r="O476" s="325"/>
      <c r="P476" s="324"/>
      <c r="Q476" s="323"/>
      <c r="R476" s="324"/>
      <c r="S476" s="325"/>
      <c r="T476" s="324"/>
      <c r="U476" s="323"/>
      <c r="V476" s="324"/>
      <c r="W476" s="325"/>
      <c r="X476" s="324"/>
      <c r="Y476" s="323"/>
      <c r="Z476" s="324"/>
      <c r="AA476" s="325"/>
      <c r="AB476" s="324"/>
      <c r="AC476" s="323"/>
      <c r="AD476" s="324"/>
      <c r="AE476" s="325"/>
      <c r="AF476" s="324"/>
      <c r="AG476" s="323"/>
      <c r="AH476" s="324"/>
      <c r="AI476" s="325"/>
      <c r="AJ476" s="324"/>
      <c r="AK476" s="323"/>
      <c r="AL476" s="324"/>
      <c r="AM476" s="325"/>
      <c r="AN476" s="324"/>
    </row>
    <row r="477" spans="1:45">
      <c r="A477" s="365" t="s">
        <v>214</v>
      </c>
      <c r="B477" s="366" t="s">
        <v>1052</v>
      </c>
      <c r="C477" s="365" t="s">
        <v>1053</v>
      </c>
      <c r="D477" s="365" t="s">
        <v>1054</v>
      </c>
      <c r="E477" s="323"/>
      <c r="F477" s="324"/>
      <c r="G477" s="325"/>
      <c r="H477" s="324"/>
      <c r="I477" s="323"/>
      <c r="J477" s="324"/>
      <c r="K477" s="325"/>
      <c r="L477" s="324"/>
      <c r="M477" s="323"/>
      <c r="N477" s="324"/>
      <c r="O477" s="325"/>
      <c r="P477" s="324"/>
      <c r="Q477" s="323"/>
      <c r="R477" s="324"/>
      <c r="S477" s="325"/>
      <c r="T477" s="324"/>
      <c r="U477" s="323"/>
      <c r="V477" s="324"/>
      <c r="W477" s="325"/>
      <c r="X477" s="324"/>
      <c r="Y477" s="323"/>
      <c r="Z477" s="324"/>
      <c r="AA477" s="325"/>
      <c r="AB477" s="324"/>
      <c r="AC477" s="323"/>
      <c r="AD477" s="324"/>
      <c r="AE477" s="325"/>
      <c r="AF477" s="324"/>
      <c r="AG477" s="323"/>
      <c r="AH477" s="324"/>
      <c r="AI477" s="325"/>
      <c r="AJ477" s="324"/>
      <c r="AK477" s="323"/>
      <c r="AL477" s="324"/>
      <c r="AM477" s="325"/>
      <c r="AN477" s="324"/>
      <c r="AO477" s="453"/>
      <c r="AP477" s="453"/>
      <c r="AQ477" s="453"/>
      <c r="AR477" s="453"/>
      <c r="AS477" s="453"/>
    </row>
    <row r="478" spans="1:45">
      <c r="A478" s="568" t="s">
        <v>646</v>
      </c>
      <c r="B478" s="188" t="s">
        <v>258</v>
      </c>
      <c r="C478" s="187">
        <v>217882</v>
      </c>
      <c r="D478" s="189">
        <v>1</v>
      </c>
      <c r="E478" s="323">
        <v>10378</v>
      </c>
      <c r="F478" s="324">
        <v>11078</v>
      </c>
      <c r="G478" s="325">
        <v>23400</v>
      </c>
      <c r="H478" s="324">
        <v>25388</v>
      </c>
      <c r="I478" s="323">
        <v>7244</v>
      </c>
      <c r="J478" s="324">
        <v>7730</v>
      </c>
      <c r="K478" s="325">
        <v>14684</v>
      </c>
      <c r="L478" s="324">
        <v>15378</v>
      </c>
      <c r="M478" s="323"/>
      <c r="N478" s="324"/>
      <c r="O478" s="325"/>
      <c r="P478" s="324"/>
      <c r="Q478" s="323"/>
      <c r="R478" s="324"/>
      <c r="S478" s="325"/>
      <c r="T478" s="324"/>
      <c r="U478" s="323"/>
      <c r="V478" s="324"/>
      <c r="W478" s="325"/>
      <c r="X478" s="324"/>
      <c r="Y478" s="323"/>
      <c r="Z478" s="324"/>
      <c r="AA478" s="325"/>
      <c r="AB478" s="324"/>
      <c r="AC478" s="323"/>
      <c r="AD478" s="324"/>
      <c r="AE478" s="325"/>
      <c r="AF478" s="324"/>
      <c r="AG478" s="323"/>
      <c r="AH478" s="324"/>
      <c r="AI478" s="325"/>
      <c r="AJ478" s="324"/>
      <c r="AK478" s="323"/>
      <c r="AL478" s="324"/>
      <c r="AM478" s="325"/>
      <c r="AN478" s="324"/>
    </row>
    <row r="479" spans="1:45">
      <c r="A479" s="568" t="s">
        <v>646</v>
      </c>
      <c r="B479" s="190" t="s">
        <v>259</v>
      </c>
      <c r="C479" s="191">
        <v>218663</v>
      </c>
      <c r="D479" s="192">
        <v>1</v>
      </c>
      <c r="E479" s="323">
        <v>8838</v>
      </c>
      <c r="F479" s="324">
        <v>9156</v>
      </c>
      <c r="G479" s="325">
        <v>22908</v>
      </c>
      <c r="H479" s="324">
        <v>23732</v>
      </c>
      <c r="I479" s="323">
        <v>9836</v>
      </c>
      <c r="J479" s="324">
        <v>10188</v>
      </c>
      <c r="K479" s="325">
        <v>20736</v>
      </c>
      <c r="L479" s="324">
        <v>21480</v>
      </c>
      <c r="M479" s="323">
        <v>17848</v>
      </c>
      <c r="N479" s="324">
        <v>19034</v>
      </c>
      <c r="O479" s="325">
        <v>35620</v>
      </c>
      <c r="P479" s="324">
        <v>38014</v>
      </c>
      <c r="Q479" s="323">
        <v>24776</v>
      </c>
      <c r="R479" s="324">
        <v>27228</v>
      </c>
      <c r="S479" s="325">
        <v>60458</v>
      </c>
      <c r="T479" s="324">
        <v>61062</v>
      </c>
      <c r="U479" s="323"/>
      <c r="V479" s="324"/>
      <c r="W479" s="325"/>
      <c r="X479" s="324"/>
      <c r="Y479" s="323">
        <v>17647</v>
      </c>
      <c r="Z479" s="324">
        <v>16900</v>
      </c>
      <c r="AA479" s="325">
        <v>35294</v>
      </c>
      <c r="AB479" s="324">
        <v>25200</v>
      </c>
      <c r="AC479" s="323"/>
      <c r="AD479" s="324"/>
      <c r="AE479" s="325"/>
      <c r="AF479" s="324"/>
      <c r="AG479" s="323"/>
      <c r="AH479" s="324"/>
      <c r="AI479" s="325"/>
      <c r="AJ479" s="324"/>
      <c r="AK479" s="323"/>
      <c r="AL479" s="324"/>
      <c r="AM479" s="325"/>
      <c r="AN479" s="324"/>
    </row>
    <row r="480" spans="1:45">
      <c r="A480" s="568" t="s">
        <v>646</v>
      </c>
      <c r="B480" s="190" t="s">
        <v>260</v>
      </c>
      <c r="C480" s="187">
        <v>217819</v>
      </c>
      <c r="D480" s="189">
        <v>3</v>
      </c>
      <c r="E480" s="323">
        <v>8400</v>
      </c>
      <c r="F480" s="324">
        <v>8988</v>
      </c>
      <c r="G480" s="325">
        <v>20418</v>
      </c>
      <c r="H480" s="324">
        <v>21846</v>
      </c>
      <c r="I480" s="323">
        <v>8820</v>
      </c>
      <c r="J480" s="324">
        <v>9886</v>
      </c>
      <c r="K480" s="325">
        <v>21438</v>
      </c>
      <c r="L480" s="324">
        <v>24030</v>
      </c>
      <c r="M480" s="323"/>
      <c r="N480" s="324"/>
      <c r="O480" s="325"/>
      <c r="P480" s="324"/>
      <c r="Q480" s="323"/>
      <c r="R480" s="324"/>
      <c r="S480" s="325"/>
      <c r="T480" s="324"/>
      <c r="U480" s="323"/>
      <c r="V480" s="324"/>
      <c r="W480" s="325"/>
      <c r="X480" s="324"/>
      <c r="Y480" s="323"/>
      <c r="Z480" s="324"/>
      <c r="AA480" s="325"/>
      <c r="AB480" s="324"/>
      <c r="AC480" s="323"/>
      <c r="AD480" s="324"/>
      <c r="AE480" s="325"/>
      <c r="AF480" s="324"/>
      <c r="AG480" s="323"/>
      <c r="AH480" s="324"/>
      <c r="AI480" s="325"/>
      <c r="AJ480" s="324"/>
      <c r="AK480" s="323"/>
      <c r="AL480" s="324"/>
      <c r="AM480" s="325"/>
      <c r="AN480" s="324"/>
    </row>
    <row r="481" spans="1:40">
      <c r="A481" s="568" t="s">
        <v>646</v>
      </c>
      <c r="B481" s="188" t="s">
        <v>261</v>
      </c>
      <c r="C481" s="187">
        <v>218964</v>
      </c>
      <c r="D481" s="189">
        <v>3</v>
      </c>
      <c r="E481" s="323">
        <v>11160</v>
      </c>
      <c r="F481" s="324">
        <v>11606</v>
      </c>
      <c r="G481" s="325">
        <v>20710</v>
      </c>
      <c r="H481" s="324">
        <v>21596</v>
      </c>
      <c r="I481" s="323">
        <v>10750</v>
      </c>
      <c r="J481" s="324">
        <v>11180</v>
      </c>
      <c r="K481" s="325">
        <v>19898</v>
      </c>
      <c r="L481" s="324">
        <v>20694</v>
      </c>
      <c r="M481" s="323"/>
      <c r="N481" s="324"/>
      <c r="O481" s="325"/>
      <c r="P481" s="324"/>
      <c r="Q481" s="323"/>
      <c r="R481" s="324"/>
      <c r="S481" s="325"/>
      <c r="T481" s="324"/>
      <c r="U481" s="323"/>
      <c r="V481" s="324"/>
      <c r="W481" s="325"/>
      <c r="X481" s="324"/>
      <c r="Y481" s="323"/>
      <c r="Z481" s="324"/>
      <c r="AA481" s="325"/>
      <c r="AB481" s="324"/>
      <c r="AC481" s="323"/>
      <c r="AD481" s="324"/>
      <c r="AE481" s="325"/>
      <c r="AF481" s="324"/>
      <c r="AG481" s="323"/>
      <c r="AH481" s="324"/>
      <c r="AI481" s="325"/>
      <c r="AJ481" s="324"/>
      <c r="AK481" s="323"/>
      <c r="AL481" s="324"/>
      <c r="AM481" s="325"/>
      <c r="AN481" s="324"/>
    </row>
    <row r="482" spans="1:40">
      <c r="A482" s="568" t="s">
        <v>646</v>
      </c>
      <c r="B482" s="188" t="s">
        <v>262</v>
      </c>
      <c r="C482" s="187">
        <v>217864</v>
      </c>
      <c r="D482" s="189">
        <v>4</v>
      </c>
      <c r="E482" s="323">
        <v>8428</v>
      </c>
      <c r="F482" s="324">
        <v>8735</v>
      </c>
      <c r="G482" s="325">
        <v>21031</v>
      </c>
      <c r="H482" s="324">
        <v>22545</v>
      </c>
      <c r="I482" s="323">
        <v>7815</v>
      </c>
      <c r="J482" s="324">
        <v>9685</v>
      </c>
      <c r="K482" s="325">
        <v>12831</v>
      </c>
      <c r="L482" s="324">
        <v>15853</v>
      </c>
      <c r="M482" s="323"/>
      <c r="N482" s="324"/>
      <c r="O482" s="325"/>
      <c r="P482" s="324"/>
      <c r="Q482" s="323"/>
      <c r="R482" s="324"/>
      <c r="S482" s="325"/>
      <c r="T482" s="324"/>
      <c r="U482" s="323"/>
      <c r="V482" s="324"/>
      <c r="W482" s="325"/>
      <c r="X482" s="324"/>
      <c r="Y482" s="323"/>
      <c r="Z482" s="324"/>
      <c r="AA482" s="325"/>
      <c r="AB482" s="324"/>
      <c r="AC482" s="323"/>
      <c r="AD482" s="324"/>
      <c r="AE482" s="325"/>
      <c r="AF482" s="324"/>
      <c r="AG482" s="323"/>
      <c r="AH482" s="324"/>
      <c r="AI482" s="325"/>
      <c r="AJ482" s="324"/>
      <c r="AK482" s="323"/>
      <c r="AL482" s="324"/>
      <c r="AM482" s="325"/>
      <c r="AN482" s="324"/>
    </row>
    <row r="483" spans="1:40">
      <c r="A483" s="568" t="s">
        <v>646</v>
      </c>
      <c r="B483" s="190" t="s">
        <v>263</v>
      </c>
      <c r="C483" s="191">
        <v>218724</v>
      </c>
      <c r="D483" s="192">
        <v>5</v>
      </c>
      <c r="E483" s="323">
        <v>8650</v>
      </c>
      <c r="F483" s="324">
        <v>8950</v>
      </c>
      <c r="G483" s="367">
        <v>18090</v>
      </c>
      <c r="H483" s="324">
        <v>18770</v>
      </c>
      <c r="I483" s="323">
        <v>6894</v>
      </c>
      <c r="J483" s="324">
        <v>7200</v>
      </c>
      <c r="K483" s="325">
        <v>8550</v>
      </c>
      <c r="L483" s="324">
        <v>8910</v>
      </c>
      <c r="M483" s="323"/>
      <c r="N483" s="324"/>
      <c r="O483" s="325"/>
      <c r="P483" s="324"/>
      <c r="Q483" s="323"/>
      <c r="R483" s="324"/>
      <c r="S483" s="325"/>
      <c r="T483" s="324"/>
      <c r="U483" s="323"/>
      <c r="V483" s="324"/>
      <c r="W483" s="325"/>
      <c r="X483" s="324"/>
      <c r="Y483" s="323"/>
      <c r="Z483" s="324"/>
      <c r="AA483" s="325"/>
      <c r="AB483" s="324"/>
      <c r="AC483" s="323"/>
      <c r="AD483" s="324"/>
      <c r="AE483" s="325"/>
      <c r="AF483" s="324"/>
      <c r="AG483" s="323"/>
      <c r="AH483" s="324"/>
      <c r="AI483" s="325"/>
      <c r="AJ483" s="324"/>
      <c r="AK483" s="323"/>
      <c r="AL483" s="324"/>
      <c r="AM483" s="325"/>
      <c r="AN483" s="324"/>
    </row>
    <row r="484" spans="1:40">
      <c r="A484" s="568" t="s">
        <v>646</v>
      </c>
      <c r="B484" s="188" t="s">
        <v>264</v>
      </c>
      <c r="C484" s="187">
        <v>218061</v>
      </c>
      <c r="D484" s="189">
        <v>5</v>
      </c>
      <c r="E484" s="323">
        <v>7682</v>
      </c>
      <c r="F484" s="324">
        <v>7960</v>
      </c>
      <c r="G484" s="325">
        <v>15028</v>
      </c>
      <c r="H484" s="324">
        <v>15585</v>
      </c>
      <c r="I484" s="323">
        <v>7882</v>
      </c>
      <c r="J484" s="324">
        <v>8160</v>
      </c>
      <c r="K484" s="325">
        <v>15428</v>
      </c>
      <c r="L484" s="324">
        <v>15985</v>
      </c>
      <c r="M484" s="323"/>
      <c r="N484" s="324"/>
      <c r="O484" s="325"/>
      <c r="P484" s="324"/>
      <c r="Q484" s="323"/>
      <c r="R484" s="324"/>
      <c r="S484" s="325"/>
      <c r="T484" s="324"/>
      <c r="U484" s="323"/>
      <c r="V484" s="324"/>
      <c r="W484" s="325"/>
      <c r="X484" s="324"/>
      <c r="Y484" s="323"/>
      <c r="Z484" s="324"/>
      <c r="AA484" s="325"/>
      <c r="AB484" s="324"/>
      <c r="AC484" s="323"/>
      <c r="AD484" s="324"/>
      <c r="AE484" s="325"/>
      <c r="AF484" s="324"/>
      <c r="AG484" s="323"/>
      <c r="AH484" s="324"/>
      <c r="AI484" s="325"/>
      <c r="AJ484" s="324"/>
      <c r="AK484" s="323"/>
      <c r="AL484" s="324"/>
      <c r="AM484" s="325"/>
      <c r="AN484" s="324"/>
    </row>
    <row r="485" spans="1:40">
      <c r="A485" s="568" t="s">
        <v>646</v>
      </c>
      <c r="B485" s="190" t="s">
        <v>95</v>
      </c>
      <c r="C485" s="191">
        <v>218733</v>
      </c>
      <c r="D485" s="192">
        <v>5</v>
      </c>
      <c r="E485" s="323">
        <v>7806</v>
      </c>
      <c r="F485" s="324">
        <v>8462</v>
      </c>
      <c r="G485" s="325">
        <v>15298</v>
      </c>
      <c r="H485" s="324">
        <v>16626</v>
      </c>
      <c r="I485" s="323">
        <v>7806</v>
      </c>
      <c r="J485" s="324">
        <v>8462</v>
      </c>
      <c r="K485" s="325">
        <v>15298</v>
      </c>
      <c r="L485" s="324">
        <v>16626</v>
      </c>
      <c r="M485" s="323"/>
      <c r="N485" s="324"/>
      <c r="O485" s="325"/>
      <c r="P485" s="324"/>
      <c r="Q485" s="323"/>
      <c r="R485" s="324"/>
      <c r="S485" s="325"/>
      <c r="T485" s="324"/>
      <c r="U485" s="323"/>
      <c r="V485" s="324"/>
      <c r="W485" s="325"/>
      <c r="X485" s="324"/>
      <c r="Y485" s="323"/>
      <c r="Z485" s="324"/>
      <c r="AA485" s="325"/>
      <c r="AB485" s="324"/>
      <c r="AC485" s="323"/>
      <c r="AD485" s="324"/>
      <c r="AE485" s="325"/>
      <c r="AF485" s="324"/>
      <c r="AG485" s="323"/>
      <c r="AH485" s="324"/>
      <c r="AI485" s="325"/>
      <c r="AJ485" s="324"/>
      <c r="AK485" s="323"/>
      <c r="AL485" s="324"/>
      <c r="AM485" s="325"/>
      <c r="AN485" s="324"/>
    </row>
    <row r="486" spans="1:40">
      <c r="A486" s="568" t="s">
        <v>646</v>
      </c>
      <c r="B486" s="352" t="s">
        <v>265</v>
      </c>
      <c r="C486" s="353">
        <v>218229</v>
      </c>
      <c r="D486" s="354">
        <v>6</v>
      </c>
      <c r="E486" s="323">
        <v>8380</v>
      </c>
      <c r="F486" s="324">
        <v>8760</v>
      </c>
      <c r="G486" s="325">
        <v>15840</v>
      </c>
      <c r="H486" s="324">
        <v>16560</v>
      </c>
      <c r="I486" s="323">
        <v>9168</v>
      </c>
      <c r="J486" s="324">
        <v>9576</v>
      </c>
      <c r="K486" s="325">
        <v>17496</v>
      </c>
      <c r="L486" s="324">
        <v>18288</v>
      </c>
      <c r="M486" s="323"/>
      <c r="N486" s="324"/>
      <c r="O486" s="325"/>
      <c r="P486" s="324"/>
      <c r="Q486" s="323"/>
      <c r="R486" s="324"/>
      <c r="S486" s="325"/>
      <c r="T486" s="324"/>
      <c r="U486" s="323"/>
      <c r="V486" s="324"/>
      <c r="W486" s="325"/>
      <c r="X486" s="324"/>
      <c r="Y486" s="323"/>
      <c r="Z486" s="324"/>
      <c r="AA486" s="325"/>
      <c r="AB486" s="324"/>
      <c r="AC486" s="323"/>
      <c r="AD486" s="324"/>
      <c r="AE486" s="325"/>
      <c r="AF486" s="324"/>
      <c r="AG486" s="323"/>
      <c r="AH486" s="324"/>
      <c r="AI486" s="325"/>
      <c r="AJ486" s="324"/>
      <c r="AK486" s="323"/>
      <c r="AL486" s="324"/>
      <c r="AM486" s="325"/>
      <c r="AN486" s="324"/>
    </row>
    <row r="487" spans="1:40">
      <c r="A487" s="568" t="s">
        <v>646</v>
      </c>
      <c r="B487" s="190" t="s">
        <v>96</v>
      </c>
      <c r="C487" s="191">
        <v>218645</v>
      </c>
      <c r="D487" s="192">
        <v>6</v>
      </c>
      <c r="E487" s="323">
        <v>7532</v>
      </c>
      <c r="F487" s="324">
        <v>7900</v>
      </c>
      <c r="G487" s="325">
        <v>14896</v>
      </c>
      <c r="H487" s="324">
        <v>15632</v>
      </c>
      <c r="I487" s="323">
        <v>9836</v>
      </c>
      <c r="J487" s="324">
        <v>10188</v>
      </c>
      <c r="K487" s="325">
        <v>20736</v>
      </c>
      <c r="L487" s="324">
        <v>21480</v>
      </c>
      <c r="M487" s="323"/>
      <c r="N487" s="324"/>
      <c r="O487" s="325"/>
      <c r="P487" s="324"/>
      <c r="Q487" s="323"/>
      <c r="R487" s="324"/>
      <c r="S487" s="325"/>
      <c r="T487" s="324"/>
      <c r="U487" s="323"/>
      <c r="V487" s="324"/>
      <c r="W487" s="325"/>
      <c r="X487" s="324"/>
      <c r="Y487" s="323"/>
      <c r="Z487" s="324"/>
      <c r="AA487" s="325"/>
      <c r="AB487" s="324"/>
      <c r="AC487" s="323"/>
      <c r="AD487" s="324"/>
      <c r="AE487" s="325"/>
      <c r="AF487" s="324"/>
      <c r="AG487" s="323"/>
      <c r="AH487" s="324"/>
      <c r="AI487" s="325"/>
      <c r="AJ487" s="324"/>
      <c r="AK487" s="323"/>
      <c r="AL487" s="324"/>
      <c r="AM487" s="325"/>
      <c r="AN487" s="324"/>
    </row>
    <row r="488" spans="1:40">
      <c r="A488" s="568" t="s">
        <v>646</v>
      </c>
      <c r="B488" s="188" t="s">
        <v>97</v>
      </c>
      <c r="C488" s="187">
        <v>218742</v>
      </c>
      <c r="D488" s="189">
        <v>6</v>
      </c>
      <c r="E488" s="323">
        <v>8342</v>
      </c>
      <c r="F488" s="324">
        <v>8642</v>
      </c>
      <c r="G488" s="325">
        <v>16684</v>
      </c>
      <c r="H488" s="324">
        <v>17284</v>
      </c>
      <c r="I488" s="323">
        <v>9836</v>
      </c>
      <c r="J488" s="324">
        <v>10188</v>
      </c>
      <c r="K488" s="325">
        <v>20736</v>
      </c>
      <c r="L488" s="324">
        <v>21480</v>
      </c>
      <c r="M488" s="323"/>
      <c r="N488" s="324"/>
      <c r="O488" s="325"/>
      <c r="P488" s="324"/>
      <c r="Q488" s="323"/>
      <c r="R488" s="324"/>
      <c r="S488" s="325"/>
      <c r="T488" s="324"/>
      <c r="U488" s="323"/>
      <c r="V488" s="324"/>
      <c r="W488" s="325"/>
      <c r="X488" s="324"/>
      <c r="Y488" s="323"/>
      <c r="Z488" s="324"/>
      <c r="AA488" s="325"/>
      <c r="AB488" s="324"/>
      <c r="AC488" s="323"/>
      <c r="AD488" s="324"/>
      <c r="AE488" s="325"/>
      <c r="AF488" s="324"/>
      <c r="AG488" s="323"/>
      <c r="AH488" s="324"/>
      <c r="AI488" s="325"/>
      <c r="AJ488" s="324"/>
      <c r="AK488" s="323"/>
      <c r="AL488" s="324"/>
      <c r="AM488" s="325"/>
      <c r="AN488" s="324"/>
    </row>
    <row r="489" spans="1:40">
      <c r="A489" s="568" t="s">
        <v>646</v>
      </c>
      <c r="B489" s="233" t="s">
        <v>98</v>
      </c>
      <c r="C489" s="191">
        <v>218654</v>
      </c>
      <c r="D489" s="192">
        <v>7</v>
      </c>
      <c r="E489" s="323">
        <v>7000</v>
      </c>
      <c r="F489" s="324">
        <v>7250</v>
      </c>
      <c r="G489" s="325">
        <v>14576</v>
      </c>
      <c r="H489" s="324">
        <v>15100</v>
      </c>
      <c r="I489" s="323"/>
      <c r="J489" s="324"/>
      <c r="K489" s="325"/>
      <c r="L489" s="324"/>
      <c r="M489" s="323"/>
      <c r="N489" s="324"/>
      <c r="O489" s="325"/>
      <c r="P489" s="324"/>
      <c r="Q489" s="323"/>
      <c r="R489" s="324"/>
      <c r="S489" s="325"/>
      <c r="T489" s="324"/>
      <c r="U489" s="323"/>
      <c r="V489" s="324"/>
      <c r="W489" s="325"/>
      <c r="X489" s="324"/>
      <c r="Y489" s="323"/>
      <c r="Z489" s="324"/>
      <c r="AA489" s="325"/>
      <c r="AB489" s="324"/>
      <c r="AC489" s="323"/>
      <c r="AD489" s="324"/>
      <c r="AE489" s="325"/>
      <c r="AF489" s="324"/>
      <c r="AG489" s="323"/>
      <c r="AH489" s="324"/>
      <c r="AI489" s="325"/>
      <c r="AJ489" s="324"/>
      <c r="AK489" s="323"/>
      <c r="AL489" s="324"/>
      <c r="AM489" s="325"/>
      <c r="AN489" s="324"/>
    </row>
    <row r="490" spans="1:40">
      <c r="A490" s="187" t="s">
        <v>646</v>
      </c>
      <c r="B490" s="188" t="s">
        <v>99</v>
      </c>
      <c r="C490" s="187">
        <v>218113</v>
      </c>
      <c r="D490" s="189">
        <v>8</v>
      </c>
      <c r="E490" s="323">
        <v>3396</v>
      </c>
      <c r="F490" s="324">
        <v>3492</v>
      </c>
      <c r="G490" s="325">
        <v>6912</v>
      </c>
      <c r="H490" s="324">
        <v>7116</v>
      </c>
      <c r="I490" s="323"/>
      <c r="J490" s="324"/>
      <c r="K490" s="325"/>
      <c r="L490" s="324"/>
      <c r="M490" s="323"/>
      <c r="N490" s="324"/>
      <c r="O490" s="325"/>
      <c r="P490" s="324"/>
      <c r="Q490" s="323"/>
      <c r="R490" s="324"/>
      <c r="S490" s="325"/>
      <c r="T490" s="324"/>
      <c r="U490" s="323"/>
      <c r="V490" s="324"/>
      <c r="W490" s="325"/>
      <c r="X490" s="324"/>
      <c r="Y490" s="323"/>
      <c r="Z490" s="324"/>
      <c r="AA490" s="325"/>
      <c r="AB490" s="324"/>
      <c r="AC490" s="323"/>
      <c r="AD490" s="324"/>
      <c r="AE490" s="325"/>
      <c r="AF490" s="324"/>
      <c r="AG490" s="323"/>
      <c r="AH490" s="324"/>
      <c r="AI490" s="325"/>
      <c r="AJ490" s="324"/>
      <c r="AK490" s="323"/>
      <c r="AL490" s="324"/>
      <c r="AM490" s="325"/>
      <c r="AN490" s="324"/>
    </row>
    <row r="491" spans="1:40">
      <c r="A491" s="187" t="s">
        <v>646</v>
      </c>
      <c r="B491" s="188" t="s">
        <v>100</v>
      </c>
      <c r="C491" s="187">
        <v>218353</v>
      </c>
      <c r="D491" s="189">
        <v>8</v>
      </c>
      <c r="E491" s="323">
        <v>3360</v>
      </c>
      <c r="F491" s="324">
        <v>3608</v>
      </c>
      <c r="G491" s="325">
        <v>9840</v>
      </c>
      <c r="H491" s="324">
        <v>10474</v>
      </c>
      <c r="I491" s="323"/>
      <c r="J491" s="324"/>
      <c r="K491" s="325"/>
      <c r="L491" s="324"/>
      <c r="M491" s="323"/>
      <c r="N491" s="324"/>
      <c r="O491" s="325"/>
      <c r="P491" s="324"/>
      <c r="Q491" s="323"/>
      <c r="R491" s="324"/>
      <c r="S491" s="325"/>
      <c r="T491" s="324"/>
      <c r="U491" s="323"/>
      <c r="V491" s="324"/>
      <c r="W491" s="325"/>
      <c r="X491" s="324"/>
      <c r="Y491" s="323"/>
      <c r="Z491" s="324"/>
      <c r="AA491" s="325"/>
      <c r="AB491" s="324"/>
      <c r="AC491" s="323"/>
      <c r="AD491" s="324"/>
      <c r="AE491" s="325"/>
      <c r="AF491" s="324"/>
      <c r="AG491" s="323"/>
      <c r="AH491" s="324"/>
      <c r="AI491" s="325"/>
      <c r="AJ491" s="324"/>
      <c r="AK491" s="323"/>
      <c r="AL491" s="324"/>
      <c r="AM491" s="325"/>
      <c r="AN491" s="324"/>
    </row>
    <row r="492" spans="1:40">
      <c r="A492" s="187" t="s">
        <v>646</v>
      </c>
      <c r="B492" s="188" t="s">
        <v>101</v>
      </c>
      <c r="C492" s="187">
        <v>218894</v>
      </c>
      <c r="D492" s="189">
        <v>8</v>
      </c>
      <c r="E492" s="323">
        <v>3330</v>
      </c>
      <c r="F492" s="324">
        <v>3450</v>
      </c>
      <c r="G492" s="325">
        <v>6308</v>
      </c>
      <c r="H492" s="324">
        <v>6532</v>
      </c>
      <c r="I492" s="323"/>
      <c r="J492" s="324"/>
      <c r="K492" s="325"/>
      <c r="L492" s="324"/>
      <c r="M492" s="323"/>
      <c r="N492" s="324"/>
      <c r="O492" s="325"/>
      <c r="P492" s="324"/>
      <c r="Q492" s="323"/>
      <c r="R492" s="324"/>
      <c r="S492" s="325"/>
      <c r="T492" s="324"/>
      <c r="U492" s="323"/>
      <c r="V492" s="324"/>
      <c r="W492" s="325"/>
      <c r="X492" s="324"/>
      <c r="Y492" s="323"/>
      <c r="Z492" s="324"/>
      <c r="AA492" s="325"/>
      <c r="AB492" s="324"/>
      <c r="AC492" s="323"/>
      <c r="AD492" s="324"/>
      <c r="AE492" s="325"/>
      <c r="AF492" s="324"/>
      <c r="AG492" s="323"/>
      <c r="AH492" s="324"/>
      <c r="AI492" s="325"/>
      <c r="AJ492" s="324"/>
      <c r="AK492" s="323"/>
      <c r="AL492" s="324"/>
      <c r="AM492" s="325"/>
      <c r="AN492" s="324"/>
    </row>
    <row r="493" spans="1:40">
      <c r="A493" s="187" t="s">
        <v>646</v>
      </c>
      <c r="B493" s="193" t="s">
        <v>102</v>
      </c>
      <c r="C493" s="187">
        <v>217615</v>
      </c>
      <c r="D493" s="189">
        <v>9</v>
      </c>
      <c r="E493" s="323">
        <v>3506</v>
      </c>
      <c r="F493" s="324">
        <v>3626</v>
      </c>
      <c r="G493" s="325">
        <v>9794</v>
      </c>
      <c r="H493" s="324">
        <v>10130</v>
      </c>
      <c r="I493" s="323"/>
      <c r="J493" s="324"/>
      <c r="K493" s="325"/>
      <c r="L493" s="324"/>
      <c r="M493" s="323"/>
      <c r="N493" s="324"/>
      <c r="O493" s="325"/>
      <c r="P493" s="324"/>
      <c r="Q493" s="323"/>
      <c r="R493" s="324"/>
      <c r="S493" s="325"/>
      <c r="T493" s="324"/>
      <c r="U493" s="323"/>
      <c r="V493" s="324"/>
      <c r="W493" s="325"/>
      <c r="X493" s="324"/>
      <c r="Y493" s="323"/>
      <c r="Z493" s="324"/>
      <c r="AA493" s="325"/>
      <c r="AB493" s="324"/>
      <c r="AC493" s="323"/>
      <c r="AD493" s="324"/>
      <c r="AE493" s="325"/>
      <c r="AF493" s="324"/>
      <c r="AG493" s="323"/>
      <c r="AH493" s="324"/>
      <c r="AI493" s="325"/>
      <c r="AJ493" s="324"/>
      <c r="AK493" s="323"/>
      <c r="AL493" s="324"/>
      <c r="AM493" s="325"/>
      <c r="AN493" s="324"/>
    </row>
    <row r="494" spans="1:40">
      <c r="A494" s="187" t="s">
        <v>646</v>
      </c>
      <c r="B494" s="188" t="s">
        <v>103</v>
      </c>
      <c r="C494" s="187">
        <v>218858</v>
      </c>
      <c r="D494" s="189">
        <v>9</v>
      </c>
      <c r="E494" s="323">
        <v>3020</v>
      </c>
      <c r="F494" s="324">
        <v>3308</v>
      </c>
      <c r="G494" s="325">
        <v>5372</v>
      </c>
      <c r="H494" s="324">
        <v>5744</v>
      </c>
      <c r="I494" s="323"/>
      <c r="J494" s="324"/>
      <c r="K494" s="325"/>
      <c r="L494" s="324"/>
      <c r="M494" s="323"/>
      <c r="N494" s="324"/>
      <c r="O494" s="325"/>
      <c r="P494" s="324"/>
      <c r="Q494" s="323"/>
      <c r="R494" s="324"/>
      <c r="S494" s="325"/>
      <c r="T494" s="324"/>
      <c r="U494" s="323"/>
      <c r="V494" s="324"/>
      <c r="W494" s="325"/>
      <c r="X494" s="324"/>
      <c r="Y494" s="323"/>
      <c r="Z494" s="324"/>
      <c r="AA494" s="325"/>
      <c r="AB494" s="324"/>
      <c r="AC494" s="323"/>
      <c r="AD494" s="324"/>
      <c r="AE494" s="325"/>
      <c r="AF494" s="324"/>
      <c r="AG494" s="323"/>
      <c r="AH494" s="324"/>
      <c r="AI494" s="325"/>
      <c r="AJ494" s="324"/>
      <c r="AK494" s="323"/>
      <c r="AL494" s="324"/>
      <c r="AM494" s="325"/>
      <c r="AN494" s="324"/>
    </row>
    <row r="495" spans="1:40">
      <c r="A495" s="187" t="s">
        <v>646</v>
      </c>
      <c r="B495" s="188" t="s">
        <v>104</v>
      </c>
      <c r="C495" s="187">
        <v>218025</v>
      </c>
      <c r="D495" s="189">
        <v>9</v>
      </c>
      <c r="E495" s="323">
        <v>3190</v>
      </c>
      <c r="F495" s="324">
        <v>3302</v>
      </c>
      <c r="G495" s="325">
        <v>5286</v>
      </c>
      <c r="H495" s="324">
        <v>5398</v>
      </c>
      <c r="I495" s="323"/>
      <c r="J495" s="324"/>
      <c r="K495" s="325"/>
      <c r="L495" s="324"/>
      <c r="M495" s="323"/>
      <c r="N495" s="324"/>
      <c r="O495" s="325"/>
      <c r="P495" s="324"/>
      <c r="Q495" s="323"/>
      <c r="R495" s="324"/>
      <c r="S495" s="325"/>
      <c r="T495" s="324"/>
      <c r="U495" s="323"/>
      <c r="V495" s="324"/>
      <c r="W495" s="325"/>
      <c r="X495" s="324"/>
      <c r="Y495" s="323"/>
      <c r="Z495" s="324"/>
      <c r="AA495" s="325"/>
      <c r="AB495" s="324"/>
      <c r="AC495" s="323"/>
      <c r="AD495" s="324"/>
      <c r="AE495" s="325"/>
      <c r="AF495" s="324"/>
      <c r="AG495" s="323"/>
      <c r="AH495" s="324"/>
      <c r="AI495" s="325"/>
      <c r="AJ495" s="324"/>
      <c r="AK495" s="323"/>
      <c r="AL495" s="324"/>
      <c r="AM495" s="325"/>
      <c r="AN495" s="324"/>
    </row>
    <row r="496" spans="1:40">
      <c r="A496" s="187" t="s">
        <v>646</v>
      </c>
      <c r="B496" s="188" t="s">
        <v>105</v>
      </c>
      <c r="C496" s="187">
        <v>218140</v>
      </c>
      <c r="D496" s="189">
        <v>9</v>
      </c>
      <c r="E496" s="323">
        <v>3194</v>
      </c>
      <c r="F496" s="324">
        <v>3206</v>
      </c>
      <c r="G496" s="325">
        <v>5034</v>
      </c>
      <c r="H496" s="324">
        <v>5046</v>
      </c>
      <c r="I496" s="323"/>
      <c r="J496" s="324"/>
      <c r="K496" s="325"/>
      <c r="L496" s="324"/>
      <c r="M496" s="323"/>
      <c r="N496" s="324"/>
      <c r="O496" s="325"/>
      <c r="P496" s="324"/>
      <c r="Q496" s="323"/>
      <c r="R496" s="324"/>
      <c r="S496" s="325"/>
      <c r="T496" s="324"/>
      <c r="U496" s="323"/>
      <c r="V496" s="324"/>
      <c r="W496" s="325"/>
      <c r="X496" s="324"/>
      <c r="Y496" s="323"/>
      <c r="Z496" s="324"/>
      <c r="AA496" s="325"/>
      <c r="AB496" s="324"/>
      <c r="AC496" s="323"/>
      <c r="AD496" s="324"/>
      <c r="AE496" s="325"/>
      <c r="AF496" s="324"/>
      <c r="AG496" s="323"/>
      <c r="AH496" s="324"/>
      <c r="AI496" s="325"/>
      <c r="AJ496" s="324"/>
      <c r="AK496" s="323"/>
      <c r="AL496" s="324"/>
      <c r="AM496" s="325"/>
      <c r="AN496" s="324"/>
    </row>
    <row r="497" spans="1:40">
      <c r="A497" s="187" t="s">
        <v>646</v>
      </c>
      <c r="B497" s="188" t="s">
        <v>106</v>
      </c>
      <c r="C497" s="187">
        <v>218487</v>
      </c>
      <c r="D497" s="189">
        <v>9</v>
      </c>
      <c r="E497" s="368">
        <v>3048</v>
      </c>
      <c r="F497" s="324">
        <v>3218</v>
      </c>
      <c r="G497" s="325">
        <v>4488</v>
      </c>
      <c r="H497" s="324">
        <v>6218</v>
      </c>
      <c r="I497" s="323"/>
      <c r="J497" s="324"/>
      <c r="K497" s="325"/>
      <c r="L497" s="324"/>
      <c r="M497" s="323"/>
      <c r="N497" s="324"/>
      <c r="O497" s="325"/>
      <c r="P497" s="324"/>
      <c r="Q497" s="323"/>
      <c r="R497" s="324"/>
      <c r="S497" s="325"/>
      <c r="T497" s="324"/>
      <c r="U497" s="323"/>
      <c r="V497" s="324"/>
      <c r="W497" s="325"/>
      <c r="X497" s="324"/>
      <c r="Y497" s="323"/>
      <c r="Z497" s="324"/>
      <c r="AA497" s="325"/>
      <c r="AB497" s="324"/>
      <c r="AC497" s="323"/>
      <c r="AD497" s="324"/>
      <c r="AE497" s="325"/>
      <c r="AF497" s="324"/>
      <c r="AG497" s="323"/>
      <c r="AH497" s="324"/>
      <c r="AI497" s="325"/>
      <c r="AJ497" s="324"/>
      <c r="AK497" s="323"/>
      <c r="AL497" s="324"/>
      <c r="AM497" s="325"/>
      <c r="AN497" s="324"/>
    </row>
    <row r="498" spans="1:40">
      <c r="A498" s="187" t="s">
        <v>646</v>
      </c>
      <c r="B498" s="188" t="s">
        <v>107</v>
      </c>
      <c r="C498" s="187">
        <v>218520</v>
      </c>
      <c r="D498" s="189">
        <v>9</v>
      </c>
      <c r="E498" s="323">
        <v>3076</v>
      </c>
      <c r="F498" s="324">
        <v>3334</v>
      </c>
      <c r="G498" s="325">
        <v>4684</v>
      </c>
      <c r="H498" s="324">
        <v>4942</v>
      </c>
      <c r="I498" s="323"/>
      <c r="J498" s="324"/>
      <c r="K498" s="325"/>
      <c r="L498" s="324"/>
      <c r="M498" s="323"/>
      <c r="N498" s="324"/>
      <c r="O498" s="325"/>
      <c r="P498" s="324"/>
      <c r="Q498" s="323"/>
      <c r="R498" s="324"/>
      <c r="S498" s="325"/>
      <c r="T498" s="324"/>
      <c r="U498" s="323"/>
      <c r="V498" s="324"/>
      <c r="W498" s="325"/>
      <c r="X498" s="324"/>
      <c r="Y498" s="323"/>
      <c r="Z498" s="324"/>
      <c r="AA498" s="325"/>
      <c r="AB498" s="324"/>
      <c r="AC498" s="323"/>
      <c r="AD498" s="324"/>
      <c r="AE498" s="325"/>
      <c r="AF498" s="324"/>
      <c r="AG498" s="323"/>
      <c r="AH498" s="324"/>
      <c r="AI498" s="325"/>
      <c r="AJ498" s="324"/>
      <c r="AK498" s="323"/>
      <c r="AL498" s="324"/>
      <c r="AM498" s="325"/>
      <c r="AN498" s="324"/>
    </row>
    <row r="499" spans="1:40">
      <c r="A499" s="187" t="s">
        <v>646</v>
      </c>
      <c r="B499" s="188" t="s">
        <v>1055</v>
      </c>
      <c r="C499" s="187">
        <v>218830</v>
      </c>
      <c r="D499" s="189">
        <v>9</v>
      </c>
      <c r="E499" s="323">
        <v>3314</v>
      </c>
      <c r="F499" s="324">
        <v>3434</v>
      </c>
      <c r="G499" s="325">
        <v>7048</v>
      </c>
      <c r="H499" s="324">
        <v>7196</v>
      </c>
      <c r="I499" s="323"/>
      <c r="J499" s="324"/>
      <c r="K499" s="325"/>
      <c r="L499" s="324"/>
      <c r="M499" s="323"/>
      <c r="N499" s="324"/>
      <c r="O499" s="325"/>
      <c r="P499" s="324"/>
      <c r="Q499" s="323"/>
      <c r="R499" s="324"/>
      <c r="S499" s="325"/>
      <c r="T499" s="324"/>
      <c r="U499" s="323"/>
      <c r="V499" s="324"/>
      <c r="W499" s="325"/>
      <c r="X499" s="324"/>
      <c r="Y499" s="323"/>
      <c r="Z499" s="324"/>
      <c r="AA499" s="325"/>
      <c r="AB499" s="324"/>
      <c r="AC499" s="323"/>
      <c r="AD499" s="324"/>
      <c r="AE499" s="325"/>
      <c r="AF499" s="324"/>
      <c r="AG499" s="323"/>
      <c r="AH499" s="324"/>
      <c r="AI499" s="325"/>
      <c r="AJ499" s="324"/>
      <c r="AK499" s="323"/>
      <c r="AL499" s="324"/>
      <c r="AM499" s="325"/>
      <c r="AN499" s="324"/>
    </row>
    <row r="500" spans="1:40">
      <c r="A500" s="187" t="s">
        <v>646</v>
      </c>
      <c r="B500" s="188" t="s">
        <v>108</v>
      </c>
      <c r="C500" s="187">
        <v>218885</v>
      </c>
      <c r="D500" s="189">
        <v>9</v>
      </c>
      <c r="E500" s="323">
        <v>3060</v>
      </c>
      <c r="F500" s="324">
        <v>3168</v>
      </c>
      <c r="G500" s="325">
        <v>6786</v>
      </c>
      <c r="H500" s="324">
        <v>7032</v>
      </c>
      <c r="I500" s="323"/>
      <c r="J500" s="324"/>
      <c r="K500" s="325"/>
      <c r="L500" s="324"/>
      <c r="M500" s="323"/>
      <c r="N500" s="324"/>
      <c r="O500" s="325"/>
      <c r="P500" s="324"/>
      <c r="Q500" s="323"/>
      <c r="R500" s="324"/>
      <c r="S500" s="325"/>
      <c r="T500" s="324"/>
      <c r="U500" s="323"/>
      <c r="V500" s="324"/>
      <c r="W500" s="325"/>
      <c r="X500" s="324"/>
      <c r="Y500" s="323"/>
      <c r="Z500" s="324"/>
      <c r="AA500" s="325"/>
      <c r="AB500" s="324"/>
      <c r="AC500" s="323"/>
      <c r="AD500" s="324"/>
      <c r="AE500" s="325"/>
      <c r="AF500" s="324"/>
      <c r="AG500" s="323"/>
      <c r="AH500" s="324"/>
      <c r="AI500" s="325"/>
      <c r="AJ500" s="324"/>
      <c r="AK500" s="323"/>
      <c r="AL500" s="324"/>
      <c r="AM500" s="325"/>
      <c r="AN500" s="324"/>
    </row>
    <row r="501" spans="1:40">
      <c r="A501" s="187" t="s">
        <v>646</v>
      </c>
      <c r="B501" s="188" t="s">
        <v>109</v>
      </c>
      <c r="C501" s="187">
        <v>218991</v>
      </c>
      <c r="D501" s="189">
        <v>9</v>
      </c>
      <c r="E501" s="323">
        <v>3244</v>
      </c>
      <c r="F501" s="324">
        <v>3352</v>
      </c>
      <c r="G501" s="325">
        <v>7288</v>
      </c>
      <c r="H501" s="324">
        <v>7528</v>
      </c>
      <c r="I501" s="323"/>
      <c r="J501" s="324"/>
      <c r="K501" s="325"/>
      <c r="L501" s="324"/>
      <c r="M501" s="323"/>
      <c r="N501" s="324"/>
      <c r="O501" s="325"/>
      <c r="P501" s="324"/>
      <c r="Q501" s="323"/>
      <c r="R501" s="324"/>
      <c r="S501" s="325"/>
      <c r="T501" s="324"/>
      <c r="U501" s="323"/>
      <c r="V501" s="324"/>
      <c r="W501" s="325"/>
      <c r="X501" s="324"/>
      <c r="Y501" s="323"/>
      <c r="Z501" s="324"/>
      <c r="AA501" s="325"/>
      <c r="AB501" s="324"/>
      <c r="AC501" s="323"/>
      <c r="AD501" s="324"/>
      <c r="AE501" s="325"/>
      <c r="AF501" s="324"/>
      <c r="AG501" s="323"/>
      <c r="AH501" s="324"/>
      <c r="AI501" s="325"/>
      <c r="AJ501" s="324"/>
      <c r="AK501" s="323"/>
      <c r="AL501" s="324"/>
      <c r="AM501" s="325"/>
      <c r="AN501" s="324"/>
    </row>
    <row r="502" spans="1:40">
      <c r="A502" s="187" t="s">
        <v>646</v>
      </c>
      <c r="B502" s="188" t="s">
        <v>110</v>
      </c>
      <c r="C502" s="187">
        <v>217989</v>
      </c>
      <c r="D502" s="189">
        <v>10</v>
      </c>
      <c r="E502" s="323">
        <v>2378</v>
      </c>
      <c r="F502" s="324">
        <v>2492</v>
      </c>
      <c r="G502" s="325">
        <v>4466</v>
      </c>
      <c r="H502" s="324">
        <v>4676</v>
      </c>
      <c r="I502" s="323"/>
      <c r="J502" s="324"/>
      <c r="K502" s="325"/>
      <c r="L502" s="324"/>
      <c r="M502" s="323"/>
      <c r="N502" s="324"/>
      <c r="O502" s="325"/>
      <c r="P502" s="324"/>
      <c r="Q502" s="323"/>
      <c r="R502" s="324"/>
      <c r="S502" s="325"/>
      <c r="T502" s="324"/>
      <c r="U502" s="323"/>
      <c r="V502" s="324"/>
      <c r="W502" s="325"/>
      <c r="X502" s="324"/>
      <c r="Y502" s="323"/>
      <c r="Z502" s="324"/>
      <c r="AA502" s="325"/>
      <c r="AB502" s="324"/>
      <c r="AC502" s="323"/>
      <c r="AD502" s="324"/>
      <c r="AE502" s="325"/>
      <c r="AF502" s="324"/>
      <c r="AG502" s="323"/>
      <c r="AH502" s="324"/>
      <c r="AI502" s="325"/>
      <c r="AJ502" s="324"/>
      <c r="AK502" s="323"/>
      <c r="AL502" s="324"/>
      <c r="AM502" s="325"/>
      <c r="AN502" s="324"/>
    </row>
    <row r="503" spans="1:40">
      <c r="A503" s="187" t="s">
        <v>646</v>
      </c>
      <c r="B503" s="188" t="s">
        <v>111</v>
      </c>
      <c r="C503" s="187">
        <v>217837</v>
      </c>
      <c r="D503" s="189">
        <v>10</v>
      </c>
      <c r="E503" s="323">
        <v>3270</v>
      </c>
      <c r="F503" s="324">
        <v>3342</v>
      </c>
      <c r="G503" s="325">
        <v>5886</v>
      </c>
      <c r="H503" s="324">
        <v>5886</v>
      </c>
      <c r="I503" s="323"/>
      <c r="J503" s="324"/>
      <c r="K503" s="325"/>
      <c r="L503" s="324"/>
      <c r="M503" s="323"/>
      <c r="N503" s="324"/>
      <c r="O503" s="325"/>
      <c r="P503" s="324"/>
      <c r="Q503" s="323"/>
      <c r="R503" s="324"/>
      <c r="S503" s="325"/>
      <c r="T503" s="324"/>
      <c r="U503" s="323"/>
      <c r="V503" s="324"/>
      <c r="W503" s="325"/>
      <c r="X503" s="324"/>
      <c r="Y503" s="323"/>
      <c r="Z503" s="324"/>
      <c r="AA503" s="325"/>
      <c r="AB503" s="324"/>
      <c r="AC503" s="323"/>
      <c r="AD503" s="324"/>
      <c r="AE503" s="325"/>
      <c r="AF503" s="324"/>
      <c r="AG503" s="323"/>
      <c r="AH503" s="324"/>
      <c r="AI503" s="325"/>
      <c r="AJ503" s="324"/>
      <c r="AK503" s="323"/>
      <c r="AL503" s="324"/>
      <c r="AM503" s="325"/>
      <c r="AN503" s="324"/>
    </row>
    <row r="504" spans="1:40">
      <c r="A504" s="187" t="s">
        <v>646</v>
      </c>
      <c r="B504" s="188" t="s">
        <v>112</v>
      </c>
      <c r="C504" s="187">
        <v>217712</v>
      </c>
      <c r="D504" s="189">
        <v>10</v>
      </c>
      <c r="E504" s="323">
        <v>3270</v>
      </c>
      <c r="F504" s="324">
        <v>3382</v>
      </c>
      <c r="G504" s="325">
        <v>7082</v>
      </c>
      <c r="H504" s="324">
        <v>7436</v>
      </c>
      <c r="I504" s="323"/>
      <c r="J504" s="324"/>
      <c r="K504" s="325"/>
      <c r="L504" s="324"/>
      <c r="M504" s="323"/>
      <c r="N504" s="324"/>
      <c r="O504" s="325"/>
      <c r="P504" s="324"/>
      <c r="Q504" s="323"/>
      <c r="R504" s="324"/>
      <c r="S504" s="325"/>
      <c r="T504" s="324"/>
      <c r="U504" s="323"/>
      <c r="V504" s="324"/>
      <c r="W504" s="325"/>
      <c r="X504" s="324"/>
      <c r="Y504" s="323"/>
      <c r="Z504" s="324"/>
      <c r="AA504" s="325"/>
      <c r="AB504" s="324"/>
      <c r="AC504" s="323"/>
      <c r="AD504" s="324"/>
      <c r="AE504" s="325"/>
      <c r="AF504" s="324"/>
      <c r="AG504" s="323"/>
      <c r="AH504" s="324"/>
      <c r="AI504" s="325"/>
      <c r="AJ504" s="324"/>
      <c r="AK504" s="323"/>
      <c r="AL504" s="324"/>
      <c r="AM504" s="325"/>
      <c r="AN504" s="324"/>
    </row>
    <row r="505" spans="1:40">
      <c r="A505" s="187" t="s">
        <v>646</v>
      </c>
      <c r="B505" s="190" t="s">
        <v>113</v>
      </c>
      <c r="C505" s="191">
        <v>218672</v>
      </c>
      <c r="D505" s="192">
        <v>10</v>
      </c>
      <c r="E505" s="323">
        <v>5264</v>
      </c>
      <c r="F505" s="324">
        <v>5528</v>
      </c>
      <c r="G505" s="325">
        <v>12680</v>
      </c>
      <c r="H505" s="324">
        <v>13304</v>
      </c>
      <c r="I505" s="323"/>
      <c r="J505" s="324"/>
      <c r="K505" s="325"/>
      <c r="L505" s="324"/>
      <c r="M505" s="323"/>
      <c r="N505" s="324"/>
      <c r="O505" s="325"/>
      <c r="P505" s="324"/>
      <c r="Q505" s="323"/>
      <c r="R505" s="324"/>
      <c r="S505" s="325"/>
      <c r="T505" s="324"/>
      <c r="U505" s="323"/>
      <c r="V505" s="324"/>
      <c r="W505" s="325"/>
      <c r="X505" s="324"/>
      <c r="Y505" s="323"/>
      <c r="Z505" s="324"/>
      <c r="AA505" s="325"/>
      <c r="AB505" s="324"/>
      <c r="AC505" s="323"/>
      <c r="AD505" s="324"/>
      <c r="AE505" s="325"/>
      <c r="AF505" s="324"/>
      <c r="AG505" s="323"/>
      <c r="AH505" s="324"/>
      <c r="AI505" s="325"/>
      <c r="AJ505" s="324"/>
      <c r="AK505" s="323"/>
      <c r="AL505" s="324"/>
      <c r="AM505" s="325"/>
      <c r="AN505" s="324"/>
    </row>
    <row r="506" spans="1:40">
      <c r="A506" s="187" t="s">
        <v>646</v>
      </c>
      <c r="B506" s="190" t="s">
        <v>114</v>
      </c>
      <c r="C506" s="191">
        <v>218681</v>
      </c>
      <c r="D506" s="192">
        <v>10</v>
      </c>
      <c r="E506" s="323">
        <v>5264</v>
      </c>
      <c r="F506" s="324">
        <v>5528</v>
      </c>
      <c r="G506" s="367">
        <v>12680</v>
      </c>
      <c r="H506" s="324">
        <v>13304</v>
      </c>
      <c r="I506" s="323"/>
      <c r="J506" s="324"/>
      <c r="K506" s="325"/>
      <c r="L506" s="324"/>
      <c r="M506" s="323"/>
      <c r="N506" s="324"/>
      <c r="O506" s="325"/>
      <c r="P506" s="324"/>
      <c r="Q506" s="323"/>
      <c r="R506" s="324"/>
      <c r="S506" s="325"/>
      <c r="T506" s="324"/>
      <c r="U506" s="323"/>
      <c r="V506" s="324"/>
      <c r="W506" s="325"/>
      <c r="X506" s="324"/>
      <c r="Y506" s="323"/>
      <c r="Z506" s="324"/>
      <c r="AA506" s="325"/>
      <c r="AB506" s="324"/>
      <c r="AC506" s="323"/>
      <c r="AD506" s="324"/>
      <c r="AE506" s="325"/>
      <c r="AF506" s="324"/>
      <c r="AG506" s="323"/>
      <c r="AH506" s="324"/>
      <c r="AI506" s="325"/>
      <c r="AJ506" s="324"/>
      <c r="AK506" s="323"/>
      <c r="AL506" s="324"/>
      <c r="AM506" s="325"/>
      <c r="AN506" s="324"/>
    </row>
    <row r="507" spans="1:40">
      <c r="A507" s="187" t="s">
        <v>646</v>
      </c>
      <c r="B507" s="190" t="s">
        <v>115</v>
      </c>
      <c r="C507" s="191">
        <v>218690</v>
      </c>
      <c r="D507" s="192">
        <v>10</v>
      </c>
      <c r="E507" s="323">
        <v>5264</v>
      </c>
      <c r="F507" s="324">
        <v>5528</v>
      </c>
      <c r="G507" s="325">
        <v>12680</v>
      </c>
      <c r="H507" s="324">
        <v>13304</v>
      </c>
      <c r="I507" s="323"/>
      <c r="J507" s="324"/>
      <c r="K507" s="325"/>
      <c r="L507" s="324"/>
      <c r="M507" s="323"/>
      <c r="N507" s="324"/>
      <c r="O507" s="325"/>
      <c r="P507" s="324"/>
      <c r="Q507" s="323"/>
      <c r="R507" s="324"/>
      <c r="S507" s="325"/>
      <c r="T507" s="324"/>
      <c r="U507" s="323"/>
      <c r="V507" s="324"/>
      <c r="W507" s="325"/>
      <c r="X507" s="324"/>
      <c r="Y507" s="323"/>
      <c r="Z507" s="324"/>
      <c r="AA507" s="325"/>
      <c r="AB507" s="324"/>
      <c r="AC507" s="323"/>
      <c r="AD507" s="324"/>
      <c r="AE507" s="325"/>
      <c r="AF507" s="324"/>
      <c r="AG507" s="323"/>
      <c r="AH507" s="324"/>
      <c r="AI507" s="325"/>
      <c r="AJ507" s="324"/>
      <c r="AK507" s="323"/>
      <c r="AL507" s="324"/>
      <c r="AM507" s="325"/>
      <c r="AN507" s="324"/>
    </row>
    <row r="508" spans="1:40">
      <c r="A508" s="187" t="s">
        <v>646</v>
      </c>
      <c r="B508" s="190" t="s">
        <v>116</v>
      </c>
      <c r="C508" s="191">
        <v>218706</v>
      </c>
      <c r="D508" s="192">
        <v>10</v>
      </c>
      <c r="E508" s="323">
        <v>5264</v>
      </c>
      <c r="F508" s="324">
        <v>5528</v>
      </c>
      <c r="G508" s="325">
        <v>12680</v>
      </c>
      <c r="H508" s="324">
        <v>13304</v>
      </c>
      <c r="I508" s="323"/>
      <c r="J508" s="324"/>
      <c r="K508" s="325"/>
      <c r="L508" s="324"/>
      <c r="M508" s="323"/>
      <c r="N508" s="324"/>
      <c r="O508" s="325"/>
      <c r="P508" s="324"/>
      <c r="Q508" s="323"/>
      <c r="R508" s="324"/>
      <c r="S508" s="325"/>
      <c r="T508" s="324"/>
      <c r="U508" s="323"/>
      <c r="V508" s="324"/>
      <c r="W508" s="325"/>
      <c r="X508" s="324"/>
      <c r="Y508" s="323"/>
      <c r="Z508" s="324"/>
      <c r="AA508" s="325"/>
      <c r="AB508" s="324"/>
      <c r="AC508" s="323"/>
      <c r="AD508" s="324"/>
      <c r="AE508" s="325"/>
      <c r="AF508" s="324"/>
      <c r="AG508" s="323"/>
      <c r="AH508" s="324"/>
      <c r="AI508" s="325"/>
      <c r="AJ508" s="324"/>
      <c r="AK508" s="323"/>
      <c r="AL508" s="324"/>
      <c r="AM508" s="325"/>
      <c r="AN508" s="324"/>
    </row>
    <row r="509" spans="1:40">
      <c r="A509" s="187" t="s">
        <v>646</v>
      </c>
      <c r="B509" s="188" t="s">
        <v>117</v>
      </c>
      <c r="C509" s="187">
        <v>218955</v>
      </c>
      <c r="D509" s="189">
        <v>10</v>
      </c>
      <c r="E509" s="323">
        <v>2942</v>
      </c>
      <c r="F509" s="324">
        <v>3042</v>
      </c>
      <c r="G509" s="325">
        <v>5642</v>
      </c>
      <c r="H509" s="324">
        <v>5850</v>
      </c>
      <c r="I509" s="323"/>
      <c r="J509" s="324"/>
      <c r="K509" s="325"/>
      <c r="L509" s="324"/>
      <c r="M509" s="323"/>
      <c r="N509" s="324"/>
      <c r="O509" s="325"/>
      <c r="P509" s="324"/>
      <c r="Q509" s="323"/>
      <c r="R509" s="324"/>
      <c r="S509" s="325"/>
      <c r="T509" s="324"/>
      <c r="U509" s="323"/>
      <c r="V509" s="324"/>
      <c r="W509" s="325"/>
      <c r="X509" s="324"/>
      <c r="Y509" s="323"/>
      <c r="Z509" s="324"/>
      <c r="AA509" s="325"/>
      <c r="AB509" s="324"/>
      <c r="AC509" s="323"/>
      <c r="AD509" s="324"/>
      <c r="AE509" s="325"/>
      <c r="AF509" s="324"/>
      <c r="AG509" s="323"/>
      <c r="AH509" s="324"/>
      <c r="AI509" s="325"/>
      <c r="AJ509" s="324"/>
      <c r="AK509" s="323"/>
      <c r="AL509" s="324"/>
      <c r="AM509" s="325"/>
      <c r="AN509" s="324"/>
    </row>
    <row r="510" spans="1:40">
      <c r="A510" s="187" t="s">
        <v>646</v>
      </c>
      <c r="B510" s="188" t="s">
        <v>118</v>
      </c>
      <c r="C510" s="187">
        <v>218335</v>
      </c>
      <c r="D510" s="189">
        <v>15</v>
      </c>
      <c r="E510" s="323">
        <v>11731</v>
      </c>
      <c r="F510" s="324">
        <v>12937</v>
      </c>
      <c r="G510" s="325">
        <v>22276</v>
      </c>
      <c r="H510" s="324">
        <v>21544</v>
      </c>
      <c r="I510" s="323">
        <v>12116</v>
      </c>
      <c r="J510" s="324">
        <v>13360</v>
      </c>
      <c r="K510" s="325">
        <v>17332</v>
      </c>
      <c r="L510" s="324">
        <v>19482</v>
      </c>
      <c r="M510" s="323"/>
      <c r="N510" s="324"/>
      <c r="O510" s="325"/>
      <c r="P510" s="324"/>
      <c r="Q510" s="323">
        <v>25598</v>
      </c>
      <c r="R510" s="324">
        <v>29438</v>
      </c>
      <c r="S510" s="325">
        <v>72380</v>
      </c>
      <c r="T510" s="324">
        <v>52770</v>
      </c>
      <c r="U510" s="323">
        <v>22468</v>
      </c>
      <c r="V510" s="324">
        <v>26288</v>
      </c>
      <c r="W510" s="325">
        <v>59054</v>
      </c>
      <c r="X510" s="324">
        <v>45958</v>
      </c>
      <c r="Y510" s="323">
        <v>17647</v>
      </c>
      <c r="Z510" s="324">
        <v>16900</v>
      </c>
      <c r="AA510" s="325">
        <v>35294</v>
      </c>
      <c r="AB510" s="324">
        <v>25200</v>
      </c>
      <c r="AC510" s="323"/>
      <c r="AD510" s="324"/>
      <c r="AE510" s="325"/>
      <c r="AF510" s="324"/>
      <c r="AG510" s="323"/>
      <c r="AH510" s="324"/>
      <c r="AI510" s="325"/>
      <c r="AJ510" s="324"/>
      <c r="AK510" s="323"/>
      <c r="AL510" s="324"/>
      <c r="AM510" s="325"/>
      <c r="AN510" s="324"/>
    </row>
    <row r="511" spans="1:40">
      <c r="A511" s="161" t="s">
        <v>215</v>
      </c>
      <c r="B511" s="369" t="s">
        <v>120</v>
      </c>
      <c r="C511" s="370">
        <v>220862</v>
      </c>
      <c r="D511" s="371">
        <v>1</v>
      </c>
      <c r="E511" s="323">
        <v>6128</v>
      </c>
      <c r="F511" s="324">
        <v>6524</v>
      </c>
      <c r="G511" s="325">
        <v>17714</v>
      </c>
      <c r="H511" s="324">
        <v>19406</v>
      </c>
      <c r="I511" s="323">
        <v>7398</v>
      </c>
      <c r="J511" s="324">
        <v>8168</v>
      </c>
      <c r="K511" s="325">
        <v>18984</v>
      </c>
      <c r="L511" s="324">
        <v>19004</v>
      </c>
      <c r="M511" s="323">
        <v>12304</v>
      </c>
      <c r="N511" s="324">
        <v>13090</v>
      </c>
      <c r="O511" s="325">
        <v>34176</v>
      </c>
      <c r="P511" s="324">
        <v>34962</v>
      </c>
      <c r="Q511" s="323"/>
      <c r="R511" s="324"/>
      <c r="S511" s="325"/>
      <c r="T511" s="324"/>
      <c r="U511" s="323"/>
      <c r="V511" s="324"/>
      <c r="W511" s="325"/>
      <c r="X511" s="324"/>
      <c r="Y511" s="323"/>
      <c r="Z511" s="324"/>
      <c r="AA511" s="325"/>
      <c r="AB511" s="324"/>
      <c r="AC511" s="323"/>
      <c r="AD511" s="324"/>
      <c r="AE511" s="325"/>
      <c r="AF511" s="324"/>
      <c r="AG511" s="323"/>
      <c r="AH511" s="324"/>
      <c r="AI511" s="325"/>
      <c r="AJ511" s="324"/>
      <c r="AK511" s="323"/>
      <c r="AL511" s="324"/>
      <c r="AM511" s="325"/>
      <c r="AN511" s="324"/>
    </row>
    <row r="512" spans="1:40">
      <c r="A512" s="161" t="s">
        <v>215</v>
      </c>
      <c r="B512" s="162" t="s">
        <v>119</v>
      </c>
      <c r="C512" s="161">
        <v>221759</v>
      </c>
      <c r="D512" s="161">
        <v>1</v>
      </c>
      <c r="E512" s="323">
        <v>6250</v>
      </c>
      <c r="F512" s="324">
        <v>6850</v>
      </c>
      <c r="G512" s="325">
        <v>19208</v>
      </c>
      <c r="H512" s="324">
        <v>20946</v>
      </c>
      <c r="I512" s="323">
        <v>7074</v>
      </c>
      <c r="J512" s="324">
        <v>7748</v>
      </c>
      <c r="K512" s="325">
        <v>20032</v>
      </c>
      <c r="L512" s="324">
        <v>21844</v>
      </c>
      <c r="M512" s="323">
        <v>12084</v>
      </c>
      <c r="N512" s="324">
        <v>13118</v>
      </c>
      <c r="O512" s="325">
        <v>29304</v>
      </c>
      <c r="P512" s="324">
        <v>31862</v>
      </c>
      <c r="Q512" s="323"/>
      <c r="R512" s="324"/>
      <c r="S512" s="325"/>
      <c r="T512" s="324"/>
      <c r="U512" s="323"/>
      <c r="V512" s="324"/>
      <c r="W512" s="325"/>
      <c r="X512" s="324"/>
      <c r="Y512" s="323"/>
      <c r="Z512" s="324"/>
      <c r="AA512" s="325"/>
      <c r="AB512" s="324"/>
      <c r="AC512" s="323"/>
      <c r="AD512" s="324"/>
      <c r="AE512" s="325"/>
      <c r="AF512" s="324"/>
      <c r="AG512" s="323"/>
      <c r="AH512" s="324"/>
      <c r="AI512" s="325"/>
      <c r="AJ512" s="324"/>
      <c r="AK512" s="323"/>
      <c r="AL512" s="372"/>
      <c r="AM512" s="325"/>
      <c r="AN512" s="372"/>
    </row>
    <row r="513" spans="1:40">
      <c r="A513" s="161" t="s">
        <v>215</v>
      </c>
      <c r="B513" s="162" t="s">
        <v>121</v>
      </c>
      <c r="C513" s="161">
        <v>220075</v>
      </c>
      <c r="D513" s="161">
        <v>3</v>
      </c>
      <c r="E513" s="323">
        <v>5201</v>
      </c>
      <c r="F513" s="324">
        <v>5593</v>
      </c>
      <c r="G513" s="325">
        <v>16093</v>
      </c>
      <c r="H513" s="324">
        <v>17671</v>
      </c>
      <c r="I513" s="323">
        <v>6671</v>
      </c>
      <c r="J513" s="324">
        <v>7169</v>
      </c>
      <c r="K513" s="325">
        <v>17563</v>
      </c>
      <c r="L513" s="324">
        <v>18201</v>
      </c>
      <c r="M513" s="323"/>
      <c r="N513" s="324"/>
      <c r="O513" s="325"/>
      <c r="P513" s="324"/>
      <c r="Q513" s="323">
        <v>22013</v>
      </c>
      <c r="R513" s="324">
        <v>24429</v>
      </c>
      <c r="S513" s="325">
        <v>44011</v>
      </c>
      <c r="T513" s="324">
        <v>48187</v>
      </c>
      <c r="U513" s="323"/>
      <c r="V513" s="324"/>
      <c r="W513" s="325"/>
      <c r="X513" s="324"/>
      <c r="Y513" s="323">
        <v>23713</v>
      </c>
      <c r="Z513" s="324">
        <v>26071</v>
      </c>
      <c r="AA513" s="325">
        <v>23713</v>
      </c>
      <c r="AB513" s="324">
        <v>26071</v>
      </c>
      <c r="AC513" s="323"/>
      <c r="AD513" s="324"/>
      <c r="AE513" s="325"/>
      <c r="AF513" s="324"/>
      <c r="AG513" s="323"/>
      <c r="AH513" s="324"/>
      <c r="AI513" s="325"/>
      <c r="AJ513" s="324"/>
      <c r="AK513" s="323"/>
      <c r="AL513" s="324"/>
      <c r="AM513" s="325"/>
      <c r="AN513" s="324"/>
    </row>
    <row r="514" spans="1:40">
      <c r="A514" s="161" t="s">
        <v>215</v>
      </c>
      <c r="B514" s="162" t="s">
        <v>122</v>
      </c>
      <c r="C514" s="161">
        <v>220978</v>
      </c>
      <c r="D514" s="161">
        <v>3</v>
      </c>
      <c r="E514" s="323">
        <v>5700</v>
      </c>
      <c r="F514" s="324">
        <v>6048</v>
      </c>
      <c r="G514" s="325">
        <v>16529</v>
      </c>
      <c r="H514" s="324">
        <v>18126</v>
      </c>
      <c r="I514" s="323">
        <v>7170</v>
      </c>
      <c r="J514" s="324">
        <v>7624</v>
      </c>
      <c r="K514" s="325">
        <v>18062</v>
      </c>
      <c r="L514" s="324">
        <v>18656</v>
      </c>
      <c r="M514" s="323"/>
      <c r="N514" s="324"/>
      <c r="O514" s="325"/>
      <c r="P514" s="324"/>
      <c r="Q514" s="323"/>
      <c r="R514" s="324"/>
      <c r="S514" s="325"/>
      <c r="T514" s="324"/>
      <c r="U514" s="323"/>
      <c r="V514" s="324"/>
      <c r="W514" s="325"/>
      <c r="X514" s="324"/>
      <c r="Y514" s="323"/>
      <c r="Z514" s="324"/>
      <c r="AA514" s="325"/>
      <c r="AB514" s="324"/>
      <c r="AC514" s="323"/>
      <c r="AD514" s="324"/>
      <c r="AE514" s="325"/>
      <c r="AF514" s="324"/>
      <c r="AG514" s="323"/>
      <c r="AH514" s="324"/>
      <c r="AI514" s="325"/>
      <c r="AJ514" s="324"/>
      <c r="AK514" s="323"/>
      <c r="AL514" s="324"/>
      <c r="AM514" s="325"/>
      <c r="AN514" s="324"/>
    </row>
    <row r="515" spans="1:40">
      <c r="A515" s="161" t="s">
        <v>215</v>
      </c>
      <c r="B515" s="164" t="s">
        <v>123</v>
      </c>
      <c r="C515" s="161">
        <v>221838</v>
      </c>
      <c r="D515" s="161">
        <v>3</v>
      </c>
      <c r="E515" s="323">
        <v>5102</v>
      </c>
      <c r="F515" s="324">
        <v>5444</v>
      </c>
      <c r="G515" s="325">
        <v>15994</v>
      </c>
      <c r="H515" s="324">
        <v>17522</v>
      </c>
      <c r="I515" s="323">
        <v>6572</v>
      </c>
      <c r="J515" s="324">
        <v>7020</v>
      </c>
      <c r="K515" s="325">
        <v>17464</v>
      </c>
      <c r="L515" s="324">
        <v>18052</v>
      </c>
      <c r="M515" s="323"/>
      <c r="N515" s="324"/>
      <c r="O515" s="325"/>
      <c r="P515" s="324"/>
      <c r="Q515" s="323"/>
      <c r="R515" s="324"/>
      <c r="S515" s="325"/>
      <c r="T515" s="324"/>
      <c r="U515" s="323"/>
      <c r="V515" s="324"/>
      <c r="W515" s="325"/>
      <c r="X515" s="324"/>
      <c r="Y515" s="323"/>
      <c r="Z515" s="324"/>
      <c r="AA515" s="325"/>
      <c r="AB515" s="324"/>
      <c r="AC515" s="323"/>
      <c r="AD515" s="324"/>
      <c r="AE515" s="325"/>
      <c r="AF515" s="324"/>
      <c r="AG515" s="323"/>
      <c r="AH515" s="324"/>
      <c r="AI515" s="325"/>
      <c r="AJ515" s="324"/>
      <c r="AK515" s="323"/>
      <c r="AL515" s="324"/>
      <c r="AM515" s="325"/>
      <c r="AN515" s="324"/>
    </row>
    <row r="516" spans="1:40">
      <c r="A516" s="161" t="s">
        <v>215</v>
      </c>
      <c r="B516" s="369" t="s">
        <v>126</v>
      </c>
      <c r="C516" s="370">
        <v>221847</v>
      </c>
      <c r="D516" s="371">
        <v>3</v>
      </c>
      <c r="E516" s="323">
        <v>5244</v>
      </c>
      <c r="F516" s="324">
        <v>5586</v>
      </c>
      <c r="G516" s="325">
        <v>16136</v>
      </c>
      <c r="H516" s="324">
        <v>17664</v>
      </c>
      <c r="I516" s="323">
        <v>6714</v>
      </c>
      <c r="J516" s="324">
        <v>7162</v>
      </c>
      <c r="K516" s="325">
        <v>17606</v>
      </c>
      <c r="L516" s="324">
        <v>18194</v>
      </c>
      <c r="M516" s="323"/>
      <c r="N516" s="324"/>
      <c r="O516" s="325"/>
      <c r="P516" s="324"/>
      <c r="Q516" s="323"/>
      <c r="R516" s="324"/>
      <c r="S516" s="325"/>
      <c r="T516" s="324"/>
      <c r="U516" s="323"/>
      <c r="V516" s="324"/>
      <c r="W516" s="325"/>
      <c r="X516" s="324"/>
      <c r="Y516" s="323"/>
      <c r="Z516" s="324"/>
      <c r="AA516" s="325"/>
      <c r="AB516" s="324"/>
      <c r="AC516" s="323"/>
      <c r="AD516" s="324"/>
      <c r="AE516" s="325"/>
      <c r="AF516" s="324"/>
      <c r="AG516" s="323"/>
      <c r="AH516" s="324"/>
      <c r="AI516" s="325"/>
      <c r="AJ516" s="324"/>
      <c r="AK516" s="323"/>
      <c r="AL516" s="324"/>
      <c r="AM516" s="325"/>
      <c r="AN516" s="324"/>
    </row>
    <row r="517" spans="1:40">
      <c r="A517" s="161" t="s">
        <v>215</v>
      </c>
      <c r="B517" s="162" t="s">
        <v>124</v>
      </c>
      <c r="C517" s="161">
        <v>221740</v>
      </c>
      <c r="D517" s="161">
        <v>3</v>
      </c>
      <c r="E517" s="323">
        <v>5310</v>
      </c>
      <c r="F517" s="324">
        <v>5656</v>
      </c>
      <c r="G517" s="325">
        <v>15870</v>
      </c>
      <c r="H517" s="324">
        <v>16954</v>
      </c>
      <c r="I517" s="323">
        <v>6150</v>
      </c>
      <c r="J517" s="324">
        <v>6554</v>
      </c>
      <c r="K517" s="325">
        <v>16710</v>
      </c>
      <c r="L517" s="324">
        <v>17852</v>
      </c>
      <c r="M517" s="323"/>
      <c r="N517" s="324"/>
      <c r="O517" s="325"/>
      <c r="P517" s="324"/>
      <c r="Q517" s="323"/>
      <c r="R517" s="324"/>
      <c r="S517" s="325"/>
      <c r="T517" s="324"/>
      <c r="U517" s="323"/>
      <c r="V517" s="324"/>
      <c r="W517" s="325"/>
      <c r="X517" s="324"/>
      <c r="Y517" s="323"/>
      <c r="Z517" s="324"/>
      <c r="AA517" s="325"/>
      <c r="AB517" s="324"/>
      <c r="AC517" s="323"/>
      <c r="AD517" s="324"/>
      <c r="AE517" s="325"/>
      <c r="AF517" s="324"/>
      <c r="AG517" s="323"/>
      <c r="AH517" s="324"/>
      <c r="AI517" s="325"/>
      <c r="AJ517" s="324"/>
      <c r="AK517" s="323"/>
      <c r="AL517" s="324"/>
      <c r="AM517" s="325"/>
      <c r="AN517" s="324"/>
    </row>
    <row r="518" spans="1:40">
      <c r="A518" s="161" t="s">
        <v>215</v>
      </c>
      <c r="B518" s="164" t="s">
        <v>125</v>
      </c>
      <c r="C518" s="161">
        <v>219602</v>
      </c>
      <c r="D518" s="161">
        <v>4</v>
      </c>
      <c r="E518" s="323">
        <v>5526</v>
      </c>
      <c r="F518" s="324">
        <v>5868</v>
      </c>
      <c r="G518" s="325">
        <v>16418</v>
      </c>
      <c r="H518" s="324">
        <v>17946</v>
      </c>
      <c r="I518" s="323">
        <v>6996</v>
      </c>
      <c r="J518" s="324">
        <v>7444</v>
      </c>
      <c r="K518" s="325">
        <v>17888</v>
      </c>
      <c r="L518" s="324">
        <v>18476</v>
      </c>
      <c r="M518" s="323"/>
      <c r="N518" s="324"/>
      <c r="O518" s="325"/>
      <c r="P518" s="324"/>
      <c r="Q518" s="323"/>
      <c r="R518" s="324"/>
      <c r="S518" s="325"/>
      <c r="T518" s="324"/>
      <c r="U518" s="323"/>
      <c r="V518" s="324"/>
      <c r="W518" s="325"/>
      <c r="X518" s="324"/>
      <c r="Y518" s="323"/>
      <c r="Z518" s="324"/>
      <c r="AA518" s="325"/>
      <c r="AB518" s="324"/>
      <c r="AC518" s="323"/>
      <c r="AD518" s="324"/>
      <c r="AE518" s="325"/>
      <c r="AF518" s="324"/>
      <c r="AG518" s="323"/>
      <c r="AH518" s="324"/>
      <c r="AI518" s="325"/>
      <c r="AJ518" s="324"/>
      <c r="AK518" s="323"/>
      <c r="AL518" s="324"/>
      <c r="AM518" s="325"/>
      <c r="AN518" s="324"/>
    </row>
    <row r="519" spans="1:40">
      <c r="A519" s="161" t="s">
        <v>215</v>
      </c>
      <c r="B519" s="162" t="s">
        <v>127</v>
      </c>
      <c r="C519" s="161">
        <v>221768</v>
      </c>
      <c r="D519" s="161">
        <v>5</v>
      </c>
      <c r="E519" s="323">
        <v>5255</v>
      </c>
      <c r="F519" s="324">
        <v>5769</v>
      </c>
      <c r="G519" s="325">
        <v>15897</v>
      </c>
      <c r="H519" s="324">
        <v>17155</v>
      </c>
      <c r="I519" s="323">
        <v>6084</v>
      </c>
      <c r="J519" s="324">
        <v>6658</v>
      </c>
      <c r="K519" s="325">
        <v>16726</v>
      </c>
      <c r="L519" s="324">
        <v>18044</v>
      </c>
      <c r="M519" s="323"/>
      <c r="N519" s="324"/>
      <c r="O519" s="325"/>
      <c r="P519" s="324"/>
      <c r="Q519" s="323"/>
      <c r="R519" s="324"/>
      <c r="S519" s="325"/>
      <c r="T519" s="324"/>
      <c r="U519" s="323"/>
      <c r="V519" s="324"/>
      <c r="W519" s="325"/>
      <c r="X519" s="324"/>
      <c r="Y519" s="323"/>
      <c r="Z519" s="324"/>
      <c r="AA519" s="325"/>
      <c r="AB519" s="324"/>
      <c r="AC519" s="323"/>
      <c r="AD519" s="324"/>
      <c r="AE519" s="325"/>
      <c r="AF519" s="324"/>
      <c r="AG519" s="323"/>
      <c r="AH519" s="324"/>
      <c r="AI519" s="325"/>
      <c r="AJ519" s="324"/>
      <c r="AK519" s="323"/>
      <c r="AL519" s="324"/>
      <c r="AM519" s="325"/>
      <c r="AN519" s="324"/>
    </row>
    <row r="520" spans="1:40">
      <c r="A520" s="161" t="s">
        <v>215</v>
      </c>
      <c r="B520" s="162" t="s">
        <v>128</v>
      </c>
      <c r="C520" s="161">
        <v>219824</v>
      </c>
      <c r="D520" s="161">
        <v>8</v>
      </c>
      <c r="E520" s="323">
        <v>2797</v>
      </c>
      <c r="F520" s="324">
        <v>2991</v>
      </c>
      <c r="G520" s="325">
        <v>10297</v>
      </c>
      <c r="H520" s="324">
        <v>11475</v>
      </c>
      <c r="I520" s="323"/>
      <c r="J520" s="324"/>
      <c r="K520" s="325"/>
      <c r="L520" s="324"/>
      <c r="M520" s="323"/>
      <c r="N520" s="324"/>
      <c r="O520" s="325"/>
      <c r="P520" s="324"/>
      <c r="Q520" s="323"/>
      <c r="R520" s="324"/>
      <c r="S520" s="325"/>
      <c r="T520" s="324"/>
      <c r="U520" s="323"/>
      <c r="V520" s="324"/>
      <c r="W520" s="325"/>
      <c r="X520" s="324"/>
      <c r="Y520" s="323"/>
      <c r="Z520" s="324"/>
      <c r="AA520" s="325"/>
      <c r="AB520" s="324"/>
      <c r="AC520" s="323"/>
      <c r="AD520" s="324"/>
      <c r="AE520" s="325"/>
      <c r="AF520" s="324"/>
      <c r="AG520" s="323"/>
      <c r="AH520" s="324"/>
      <c r="AI520" s="325"/>
      <c r="AJ520" s="324"/>
      <c r="AK520" s="323"/>
      <c r="AL520" s="324"/>
      <c r="AM520" s="325"/>
      <c r="AN520" s="324"/>
    </row>
    <row r="521" spans="1:40">
      <c r="A521" s="161" t="s">
        <v>215</v>
      </c>
      <c r="B521" s="162" t="s">
        <v>129</v>
      </c>
      <c r="C521" s="161">
        <v>221643</v>
      </c>
      <c r="D521" s="161">
        <v>8</v>
      </c>
      <c r="E521" s="323">
        <v>2799</v>
      </c>
      <c r="F521" s="324">
        <v>2993</v>
      </c>
      <c r="G521" s="325">
        <v>10299</v>
      </c>
      <c r="H521" s="324">
        <v>11477</v>
      </c>
      <c r="I521" s="323"/>
      <c r="J521" s="324"/>
      <c r="K521" s="325"/>
      <c r="L521" s="324"/>
      <c r="M521" s="323"/>
      <c r="N521" s="324"/>
      <c r="O521" s="325"/>
      <c r="P521" s="324"/>
      <c r="Q521" s="323"/>
      <c r="R521" s="324"/>
      <c r="S521" s="325"/>
      <c r="T521" s="324"/>
      <c r="U521" s="323"/>
      <c r="V521" s="324"/>
      <c r="W521" s="325"/>
      <c r="X521" s="324"/>
      <c r="Y521" s="323"/>
      <c r="Z521" s="324"/>
      <c r="AA521" s="325"/>
      <c r="AB521" s="324"/>
      <c r="AC521" s="323"/>
      <c r="AD521" s="324"/>
      <c r="AE521" s="325"/>
      <c r="AF521" s="324"/>
      <c r="AG521" s="323"/>
      <c r="AH521" s="324"/>
      <c r="AI521" s="325"/>
      <c r="AJ521" s="324"/>
      <c r="AK521" s="323"/>
      <c r="AL521" s="324"/>
      <c r="AM521" s="325"/>
      <c r="AN521" s="324"/>
    </row>
    <row r="522" spans="1:40">
      <c r="A522" s="161" t="s">
        <v>215</v>
      </c>
      <c r="B522" s="162" t="s">
        <v>130</v>
      </c>
      <c r="C522" s="161">
        <v>221485</v>
      </c>
      <c r="D522" s="161">
        <v>8</v>
      </c>
      <c r="E522" s="323">
        <v>2791</v>
      </c>
      <c r="F522" s="324">
        <v>2985</v>
      </c>
      <c r="G522" s="325">
        <v>10291</v>
      </c>
      <c r="H522" s="324">
        <v>11469</v>
      </c>
      <c r="I522" s="323"/>
      <c r="J522" s="324"/>
      <c r="K522" s="325"/>
      <c r="L522" s="324"/>
      <c r="M522" s="323"/>
      <c r="N522" s="324"/>
      <c r="O522" s="325"/>
      <c r="P522" s="324"/>
      <c r="Q522" s="323"/>
      <c r="R522" s="324"/>
      <c r="S522" s="325"/>
      <c r="T522" s="324"/>
      <c r="U522" s="323"/>
      <c r="V522" s="324"/>
      <c r="W522" s="325"/>
      <c r="X522" s="324"/>
      <c r="Y522" s="323"/>
      <c r="Z522" s="324"/>
      <c r="AA522" s="325"/>
      <c r="AB522" s="324"/>
      <c r="AC522" s="323"/>
      <c r="AD522" s="324"/>
      <c r="AE522" s="325"/>
      <c r="AF522" s="324"/>
      <c r="AG522" s="323"/>
      <c r="AH522" s="324"/>
      <c r="AI522" s="325"/>
      <c r="AJ522" s="324"/>
      <c r="AK522" s="323"/>
      <c r="AL522" s="324"/>
      <c r="AM522" s="325"/>
      <c r="AN522" s="324"/>
    </row>
    <row r="523" spans="1:40">
      <c r="A523" s="161" t="s">
        <v>215</v>
      </c>
      <c r="B523" s="162" t="s">
        <v>131</v>
      </c>
      <c r="C523" s="161">
        <v>219879</v>
      </c>
      <c r="D523" s="161">
        <v>9</v>
      </c>
      <c r="E523" s="323">
        <v>2769</v>
      </c>
      <c r="F523" s="324">
        <v>2969</v>
      </c>
      <c r="G523" s="325">
        <v>10269</v>
      </c>
      <c r="H523" s="324">
        <v>11453</v>
      </c>
      <c r="I523" s="323"/>
      <c r="J523" s="324"/>
      <c r="K523" s="325"/>
      <c r="L523" s="324"/>
      <c r="M523" s="323"/>
      <c r="N523" s="324"/>
      <c r="O523" s="325"/>
      <c r="P523" s="324"/>
      <c r="Q523" s="323"/>
      <c r="R523" s="324"/>
      <c r="S523" s="325"/>
      <c r="T523" s="324"/>
      <c r="U523" s="323"/>
      <c r="V523" s="324"/>
      <c r="W523" s="325"/>
      <c r="X523" s="324"/>
      <c r="Y523" s="323"/>
      <c r="Z523" s="324"/>
      <c r="AA523" s="325"/>
      <c r="AB523" s="324"/>
      <c r="AC523" s="323"/>
      <c r="AD523" s="324"/>
      <c r="AE523" s="325"/>
      <c r="AF523" s="324"/>
      <c r="AG523" s="323"/>
      <c r="AH523" s="324"/>
      <c r="AI523" s="325"/>
      <c r="AJ523" s="324"/>
      <c r="AK523" s="323"/>
      <c r="AL523" s="324"/>
      <c r="AM523" s="325"/>
      <c r="AN523" s="324"/>
    </row>
    <row r="524" spans="1:40">
      <c r="A524" s="161" t="s">
        <v>215</v>
      </c>
      <c r="B524" s="162" t="s">
        <v>132</v>
      </c>
      <c r="C524" s="161">
        <v>219888</v>
      </c>
      <c r="D524" s="161">
        <v>9</v>
      </c>
      <c r="E524" s="323">
        <v>2747</v>
      </c>
      <c r="F524" s="324">
        <v>2941</v>
      </c>
      <c r="G524" s="325">
        <v>10247</v>
      </c>
      <c r="H524" s="324">
        <v>11425</v>
      </c>
      <c r="I524" s="323"/>
      <c r="J524" s="324"/>
      <c r="K524" s="325"/>
      <c r="L524" s="324"/>
      <c r="M524" s="323"/>
      <c r="N524" s="324"/>
      <c r="O524" s="325"/>
      <c r="P524" s="324"/>
      <c r="Q524" s="323"/>
      <c r="R524" s="324"/>
      <c r="S524" s="325"/>
      <c r="T524" s="324"/>
      <c r="U524" s="323"/>
      <c r="V524" s="324"/>
      <c r="W524" s="325"/>
      <c r="X524" s="324"/>
      <c r="Y524" s="323"/>
      <c r="Z524" s="324"/>
      <c r="AA524" s="325"/>
      <c r="AB524" s="324"/>
      <c r="AC524" s="323"/>
      <c r="AD524" s="324"/>
      <c r="AE524" s="325"/>
      <c r="AF524" s="324"/>
      <c r="AG524" s="323"/>
      <c r="AH524" s="324"/>
      <c r="AI524" s="325"/>
      <c r="AJ524" s="324"/>
      <c r="AK524" s="323"/>
      <c r="AL524" s="324"/>
      <c r="AM524" s="325"/>
      <c r="AN524" s="324"/>
    </row>
    <row r="525" spans="1:40">
      <c r="A525" s="161" t="s">
        <v>215</v>
      </c>
      <c r="B525" s="162" t="s">
        <v>133</v>
      </c>
      <c r="C525" s="161">
        <v>220400</v>
      </c>
      <c r="D525" s="161">
        <v>9</v>
      </c>
      <c r="E525" s="323">
        <v>2759</v>
      </c>
      <c r="F525" s="324">
        <v>2953</v>
      </c>
      <c r="G525" s="325">
        <v>10259</v>
      </c>
      <c r="H525" s="324">
        <v>11437</v>
      </c>
      <c r="I525" s="323"/>
      <c r="J525" s="324"/>
      <c r="K525" s="325"/>
      <c r="L525" s="324"/>
      <c r="M525" s="323"/>
      <c r="N525" s="324"/>
      <c r="O525" s="325"/>
      <c r="P525" s="324"/>
      <c r="Q525" s="323"/>
      <c r="R525" s="324"/>
      <c r="S525" s="325"/>
      <c r="T525" s="324"/>
      <c r="U525" s="323"/>
      <c r="V525" s="324"/>
      <c r="W525" s="325"/>
      <c r="X525" s="324"/>
      <c r="Y525" s="323"/>
      <c r="Z525" s="324"/>
      <c r="AA525" s="325"/>
      <c r="AB525" s="324"/>
      <c r="AC525" s="323"/>
      <c r="AD525" s="324"/>
      <c r="AE525" s="325"/>
      <c r="AF525" s="324"/>
      <c r="AG525" s="323"/>
      <c r="AH525" s="324"/>
      <c r="AI525" s="325"/>
      <c r="AJ525" s="324"/>
      <c r="AK525" s="323"/>
      <c r="AL525" s="324"/>
      <c r="AM525" s="325"/>
      <c r="AN525" s="324"/>
    </row>
    <row r="526" spans="1:40">
      <c r="A526" s="161" t="s">
        <v>215</v>
      </c>
      <c r="B526" s="162" t="s">
        <v>134</v>
      </c>
      <c r="C526" s="161">
        <v>221096</v>
      </c>
      <c r="D526" s="161">
        <v>9</v>
      </c>
      <c r="E526" s="323">
        <v>2765</v>
      </c>
      <c r="F526" s="324">
        <v>2959</v>
      </c>
      <c r="G526" s="325">
        <v>10265</v>
      </c>
      <c r="H526" s="324">
        <v>11443</v>
      </c>
      <c r="I526" s="323"/>
      <c r="J526" s="324"/>
      <c r="K526" s="325"/>
      <c r="L526" s="324"/>
      <c r="M526" s="323"/>
      <c r="N526" s="324"/>
      <c r="O526" s="325"/>
      <c r="P526" s="324"/>
      <c r="Q526" s="323"/>
      <c r="R526" s="324"/>
      <c r="S526" s="325"/>
      <c r="T526" s="324"/>
      <c r="U526" s="323"/>
      <c r="V526" s="324"/>
      <c r="W526" s="325"/>
      <c r="X526" s="324"/>
      <c r="Y526" s="323"/>
      <c r="Z526" s="324"/>
      <c r="AA526" s="325"/>
      <c r="AB526" s="324"/>
      <c r="AC526" s="323"/>
      <c r="AD526" s="324"/>
      <c r="AE526" s="325"/>
      <c r="AF526" s="324"/>
      <c r="AG526" s="323"/>
      <c r="AH526" s="324"/>
      <c r="AI526" s="325"/>
      <c r="AJ526" s="324"/>
      <c r="AK526" s="323"/>
      <c r="AL526" s="324"/>
      <c r="AM526" s="325"/>
      <c r="AN526" s="324"/>
    </row>
    <row r="527" spans="1:40">
      <c r="A527" s="161" t="s">
        <v>215</v>
      </c>
      <c r="B527" s="164" t="s">
        <v>433</v>
      </c>
      <c r="C527" s="161">
        <v>221184</v>
      </c>
      <c r="D527" s="161">
        <v>9</v>
      </c>
      <c r="E527" s="323">
        <v>2731</v>
      </c>
      <c r="F527" s="324">
        <v>2925</v>
      </c>
      <c r="G527" s="325">
        <v>10231</v>
      </c>
      <c r="H527" s="324">
        <v>11409</v>
      </c>
      <c r="I527" s="323"/>
      <c r="J527" s="324"/>
      <c r="K527" s="325"/>
      <c r="L527" s="324"/>
      <c r="M527" s="323"/>
      <c r="N527" s="324"/>
      <c r="O527" s="325"/>
      <c r="P527" s="324"/>
      <c r="Q527" s="323"/>
      <c r="R527" s="324"/>
      <c r="S527" s="325"/>
      <c r="T527" s="324"/>
      <c r="U527" s="323"/>
      <c r="V527" s="324"/>
      <c r="W527" s="325"/>
      <c r="X527" s="324"/>
      <c r="Y527" s="323"/>
      <c r="Z527" s="324"/>
      <c r="AA527" s="325"/>
      <c r="AB527" s="324"/>
      <c r="AC527" s="323"/>
      <c r="AD527" s="324"/>
      <c r="AE527" s="325"/>
      <c r="AF527" s="324"/>
      <c r="AG527" s="323"/>
      <c r="AH527" s="324"/>
      <c r="AI527" s="325"/>
      <c r="AJ527" s="324"/>
      <c r="AK527" s="323"/>
      <c r="AL527" s="324"/>
      <c r="AM527" s="325"/>
      <c r="AN527" s="324"/>
    </row>
    <row r="528" spans="1:40">
      <c r="A528" s="161" t="s">
        <v>215</v>
      </c>
      <c r="B528" s="162" t="s">
        <v>434</v>
      </c>
      <c r="C528" s="161">
        <v>221908</v>
      </c>
      <c r="D528" s="161">
        <v>9</v>
      </c>
      <c r="E528" s="323">
        <v>2787</v>
      </c>
      <c r="F528" s="324">
        <v>2981</v>
      </c>
      <c r="G528" s="325">
        <v>10287</v>
      </c>
      <c r="H528" s="324">
        <v>11465</v>
      </c>
      <c r="I528" s="323"/>
      <c r="J528" s="324"/>
      <c r="K528" s="325"/>
      <c r="L528" s="324"/>
      <c r="M528" s="323"/>
      <c r="N528" s="324"/>
      <c r="O528" s="325"/>
      <c r="P528" s="324"/>
      <c r="Q528" s="323"/>
      <c r="R528" s="324"/>
      <c r="S528" s="325"/>
      <c r="T528" s="324"/>
      <c r="U528" s="323"/>
      <c r="V528" s="324"/>
      <c r="W528" s="325"/>
      <c r="X528" s="324"/>
      <c r="Y528" s="323"/>
      <c r="Z528" s="324"/>
      <c r="AA528" s="325"/>
      <c r="AB528" s="324"/>
      <c r="AC528" s="323"/>
      <c r="AD528" s="324"/>
      <c r="AE528" s="325"/>
      <c r="AF528" s="324"/>
      <c r="AG528" s="323"/>
      <c r="AH528" s="324"/>
      <c r="AI528" s="325"/>
      <c r="AJ528" s="324"/>
      <c r="AK528" s="323"/>
      <c r="AL528" s="324"/>
      <c r="AM528" s="325"/>
      <c r="AN528" s="324"/>
    </row>
    <row r="529" spans="1:40">
      <c r="A529" s="161" t="s">
        <v>215</v>
      </c>
      <c r="B529" s="162" t="s">
        <v>435</v>
      </c>
      <c r="C529" s="161">
        <v>221397</v>
      </c>
      <c r="D529" s="161">
        <v>9</v>
      </c>
      <c r="E529" s="323">
        <v>2787</v>
      </c>
      <c r="F529" s="324">
        <v>2981</v>
      </c>
      <c r="G529" s="325">
        <v>10287</v>
      </c>
      <c r="H529" s="324">
        <v>11465</v>
      </c>
      <c r="I529" s="323"/>
      <c r="J529" s="324"/>
      <c r="K529" s="325"/>
      <c r="L529" s="324"/>
      <c r="M529" s="323"/>
      <c r="N529" s="324"/>
      <c r="O529" s="325"/>
      <c r="P529" s="324"/>
      <c r="Q529" s="323"/>
      <c r="R529" s="324"/>
      <c r="S529" s="325"/>
      <c r="T529" s="324"/>
      <c r="U529" s="323"/>
      <c r="V529" s="324"/>
      <c r="W529" s="325"/>
      <c r="X529" s="324"/>
      <c r="Y529" s="323"/>
      <c r="Z529" s="324"/>
      <c r="AA529" s="325"/>
      <c r="AB529" s="324"/>
      <c r="AC529" s="323"/>
      <c r="AD529" s="324"/>
      <c r="AE529" s="325"/>
      <c r="AF529" s="324"/>
      <c r="AG529" s="323"/>
      <c r="AH529" s="324"/>
      <c r="AI529" s="325"/>
      <c r="AJ529" s="324"/>
      <c r="AK529" s="323"/>
      <c r="AL529" s="324"/>
      <c r="AM529" s="325"/>
      <c r="AN529" s="324"/>
    </row>
    <row r="530" spans="1:40">
      <c r="A530" s="161" t="s">
        <v>215</v>
      </c>
      <c r="B530" s="164" t="s">
        <v>393</v>
      </c>
      <c r="C530" s="161">
        <v>222053</v>
      </c>
      <c r="D530" s="161">
        <v>9</v>
      </c>
      <c r="E530" s="323">
        <v>2767</v>
      </c>
      <c r="F530" s="324">
        <v>2961</v>
      </c>
      <c r="G530" s="325">
        <v>10267</v>
      </c>
      <c r="H530" s="324">
        <v>11445</v>
      </c>
      <c r="I530" s="323"/>
      <c r="J530" s="324"/>
      <c r="K530" s="325"/>
      <c r="L530" s="324"/>
      <c r="M530" s="323"/>
      <c r="N530" s="324"/>
      <c r="O530" s="325"/>
      <c r="P530" s="324"/>
      <c r="Q530" s="323"/>
      <c r="R530" s="324"/>
      <c r="S530" s="325"/>
      <c r="T530" s="324"/>
      <c r="U530" s="323"/>
      <c r="V530" s="324"/>
      <c r="W530" s="325"/>
      <c r="X530" s="324"/>
      <c r="Y530" s="323"/>
      <c r="Z530" s="324"/>
      <c r="AA530" s="325"/>
      <c r="AB530" s="324"/>
      <c r="AC530" s="323"/>
      <c r="AD530" s="324"/>
      <c r="AE530" s="325"/>
      <c r="AF530" s="324"/>
      <c r="AG530" s="323"/>
      <c r="AH530" s="324"/>
      <c r="AI530" s="325"/>
      <c r="AJ530" s="324"/>
      <c r="AK530" s="323"/>
      <c r="AL530" s="324"/>
      <c r="AM530" s="325"/>
      <c r="AN530" s="324"/>
    </row>
    <row r="531" spans="1:40">
      <c r="A531" s="161" t="s">
        <v>215</v>
      </c>
      <c r="B531" s="162" t="s">
        <v>394</v>
      </c>
      <c r="C531" s="161">
        <v>222062</v>
      </c>
      <c r="D531" s="161">
        <v>9</v>
      </c>
      <c r="E531" s="323">
        <v>2775</v>
      </c>
      <c r="F531" s="324">
        <v>2969</v>
      </c>
      <c r="G531" s="325">
        <v>10275</v>
      </c>
      <c r="H531" s="324">
        <v>11453</v>
      </c>
      <c r="I531" s="323"/>
      <c r="J531" s="324"/>
      <c r="K531" s="325"/>
      <c r="L531" s="324"/>
      <c r="M531" s="323"/>
      <c r="N531" s="324"/>
      <c r="O531" s="325"/>
      <c r="P531" s="324"/>
      <c r="Q531" s="323"/>
      <c r="R531" s="324"/>
      <c r="S531" s="325"/>
      <c r="T531" s="324"/>
      <c r="U531" s="323"/>
      <c r="V531" s="324"/>
      <c r="W531" s="325"/>
      <c r="X531" s="324"/>
      <c r="Y531" s="323"/>
      <c r="Z531" s="324"/>
      <c r="AA531" s="325"/>
      <c r="AB531" s="324"/>
      <c r="AC531" s="323"/>
      <c r="AD531" s="324"/>
      <c r="AE531" s="325"/>
      <c r="AF531" s="324"/>
      <c r="AG531" s="323"/>
      <c r="AH531" s="324"/>
      <c r="AI531" s="325"/>
      <c r="AJ531" s="324"/>
      <c r="AK531" s="323"/>
      <c r="AL531" s="324"/>
      <c r="AM531" s="325"/>
      <c r="AN531" s="324"/>
    </row>
    <row r="532" spans="1:40">
      <c r="A532" s="161" t="s">
        <v>215</v>
      </c>
      <c r="B532" s="164" t="s">
        <v>395</v>
      </c>
      <c r="C532" s="161">
        <v>220057</v>
      </c>
      <c r="D532" s="161">
        <v>10</v>
      </c>
      <c r="E532" s="323">
        <v>2777</v>
      </c>
      <c r="F532" s="324">
        <v>2971</v>
      </c>
      <c r="G532" s="325">
        <v>10277</v>
      </c>
      <c r="H532" s="324">
        <v>11455</v>
      </c>
      <c r="I532" s="323"/>
      <c r="J532" s="324"/>
      <c r="K532" s="325"/>
      <c r="L532" s="324"/>
      <c r="M532" s="323"/>
      <c r="N532" s="324"/>
      <c r="O532" s="325"/>
      <c r="P532" s="324"/>
      <c r="Q532" s="323"/>
      <c r="R532" s="324"/>
      <c r="S532" s="325"/>
      <c r="T532" s="324"/>
      <c r="U532" s="323"/>
      <c r="V532" s="324"/>
      <c r="W532" s="325"/>
      <c r="X532" s="324"/>
      <c r="Y532" s="323"/>
      <c r="Z532" s="324"/>
      <c r="AA532" s="325"/>
      <c r="AB532" s="324"/>
      <c r="AC532" s="323"/>
      <c r="AD532" s="324"/>
      <c r="AE532" s="325"/>
      <c r="AF532" s="324"/>
      <c r="AG532" s="323"/>
      <c r="AH532" s="324"/>
      <c r="AI532" s="325"/>
      <c r="AJ532" s="324"/>
      <c r="AK532" s="323"/>
      <c r="AL532" s="324"/>
      <c r="AM532" s="325"/>
      <c r="AN532" s="324"/>
    </row>
    <row r="533" spans="1:40">
      <c r="A533" s="161" t="s">
        <v>215</v>
      </c>
      <c r="B533" s="162" t="s">
        <v>396</v>
      </c>
      <c r="C533" s="161">
        <v>219596</v>
      </c>
      <c r="D533" s="161">
        <v>13</v>
      </c>
      <c r="E533" s="323">
        <v>2285</v>
      </c>
      <c r="F533" s="324">
        <v>2399</v>
      </c>
      <c r="G533" s="325"/>
      <c r="H533" s="324"/>
      <c r="I533" s="323"/>
      <c r="J533" s="324"/>
      <c r="K533" s="325"/>
      <c r="L533" s="324"/>
      <c r="M533" s="323"/>
      <c r="N533" s="324"/>
      <c r="O533" s="325"/>
      <c r="P533" s="324"/>
      <c r="Q533" s="323"/>
      <c r="R533" s="324"/>
      <c r="S533" s="325"/>
      <c r="T533" s="324"/>
      <c r="U533" s="323"/>
      <c r="V533" s="324"/>
      <c r="W533" s="325"/>
      <c r="X533" s="324"/>
      <c r="Y533" s="323"/>
      <c r="Z533" s="324"/>
      <c r="AA533" s="325"/>
      <c r="AB533" s="324"/>
      <c r="AC533" s="323"/>
      <c r="AD533" s="324"/>
      <c r="AE533" s="325"/>
      <c r="AF533" s="324"/>
      <c r="AG533" s="323"/>
      <c r="AH533" s="324"/>
      <c r="AI533" s="325"/>
      <c r="AJ533" s="324"/>
      <c r="AK533" s="323"/>
      <c r="AL533" s="324"/>
      <c r="AM533" s="325"/>
      <c r="AN533" s="324"/>
    </row>
    <row r="534" spans="1:40">
      <c r="A534" s="161" t="s">
        <v>215</v>
      </c>
      <c r="B534" s="162" t="s">
        <v>397</v>
      </c>
      <c r="C534" s="161" t="s">
        <v>398</v>
      </c>
      <c r="D534" s="161">
        <v>13</v>
      </c>
      <c r="E534" s="323">
        <v>2285</v>
      </c>
      <c r="F534" s="324">
        <v>2399</v>
      </c>
      <c r="G534" s="325"/>
      <c r="H534" s="324"/>
      <c r="I534" s="323"/>
      <c r="J534" s="324"/>
      <c r="K534" s="325"/>
      <c r="L534" s="324"/>
      <c r="M534" s="323"/>
      <c r="N534" s="324"/>
      <c r="O534" s="325"/>
      <c r="P534" s="324"/>
      <c r="Q534" s="323"/>
      <c r="R534" s="324"/>
      <c r="S534" s="325"/>
      <c r="T534" s="324"/>
      <c r="U534" s="323"/>
      <c r="V534" s="324"/>
      <c r="W534" s="325"/>
      <c r="X534" s="324"/>
      <c r="Y534" s="323"/>
      <c r="Z534" s="324"/>
      <c r="AA534" s="325"/>
      <c r="AB534" s="324"/>
      <c r="AC534" s="323"/>
      <c r="AD534" s="324"/>
      <c r="AE534" s="325"/>
      <c r="AF534" s="324"/>
      <c r="AG534" s="323"/>
      <c r="AH534" s="324"/>
      <c r="AI534" s="325"/>
      <c r="AJ534" s="324"/>
      <c r="AK534" s="323"/>
      <c r="AL534" s="324"/>
      <c r="AM534" s="325"/>
      <c r="AN534" s="324"/>
    </row>
    <row r="535" spans="1:40">
      <c r="A535" s="161" t="s">
        <v>215</v>
      </c>
      <c r="B535" s="162" t="s">
        <v>399</v>
      </c>
      <c r="C535" s="161">
        <v>219921</v>
      </c>
      <c r="D535" s="161">
        <v>13</v>
      </c>
      <c r="E535" s="323">
        <v>2285</v>
      </c>
      <c r="F535" s="324">
        <v>2399</v>
      </c>
      <c r="G535" s="325"/>
      <c r="H535" s="324"/>
      <c r="I535" s="323"/>
      <c r="J535" s="324"/>
      <c r="K535" s="325"/>
      <c r="L535" s="324"/>
      <c r="M535" s="323"/>
      <c r="N535" s="324"/>
      <c r="O535" s="325"/>
      <c r="P535" s="324"/>
      <c r="Q535" s="323"/>
      <c r="R535" s="324"/>
      <c r="S535" s="325"/>
      <c r="T535" s="324"/>
      <c r="U535" s="323"/>
      <c r="V535" s="324"/>
      <c r="W535" s="325"/>
      <c r="X535" s="324"/>
      <c r="Y535" s="323"/>
      <c r="Z535" s="324"/>
      <c r="AA535" s="325"/>
      <c r="AB535" s="324"/>
      <c r="AC535" s="323"/>
      <c r="AD535" s="324"/>
      <c r="AE535" s="325"/>
      <c r="AF535" s="324"/>
      <c r="AG535" s="323"/>
      <c r="AH535" s="324"/>
      <c r="AI535" s="325"/>
      <c r="AJ535" s="324"/>
      <c r="AK535" s="323"/>
      <c r="AL535" s="324"/>
      <c r="AM535" s="325"/>
      <c r="AN535" s="324"/>
    </row>
    <row r="536" spans="1:40">
      <c r="A536" s="161" t="s">
        <v>215</v>
      </c>
      <c r="B536" s="162" t="s">
        <v>400</v>
      </c>
      <c r="C536" s="161">
        <v>221591</v>
      </c>
      <c r="D536" s="161">
        <v>13</v>
      </c>
      <c r="E536" s="323">
        <v>2285</v>
      </c>
      <c r="F536" s="324">
        <v>2399</v>
      </c>
      <c r="G536" s="325"/>
      <c r="H536" s="324"/>
      <c r="I536" s="323"/>
      <c r="J536" s="324"/>
      <c r="K536" s="325"/>
      <c r="L536" s="324"/>
      <c r="M536" s="323"/>
      <c r="N536" s="324"/>
      <c r="O536" s="325"/>
      <c r="P536" s="324"/>
      <c r="Q536" s="323"/>
      <c r="R536" s="324"/>
      <c r="S536" s="325"/>
      <c r="T536" s="324"/>
      <c r="U536" s="323"/>
      <c r="V536" s="324"/>
      <c r="W536" s="325"/>
      <c r="X536" s="324"/>
      <c r="Y536" s="323"/>
      <c r="Z536" s="324"/>
      <c r="AA536" s="325"/>
      <c r="AB536" s="324"/>
      <c r="AC536" s="323"/>
      <c r="AD536" s="324"/>
      <c r="AE536" s="325"/>
      <c r="AF536" s="324"/>
      <c r="AG536" s="323"/>
      <c r="AH536" s="324"/>
      <c r="AI536" s="325"/>
      <c r="AJ536" s="324"/>
      <c r="AK536" s="323"/>
      <c r="AL536" s="324"/>
      <c r="AM536" s="325"/>
      <c r="AN536" s="324"/>
    </row>
    <row r="537" spans="1:40">
      <c r="A537" s="161" t="s">
        <v>215</v>
      </c>
      <c r="B537" s="162" t="s">
        <v>401</v>
      </c>
      <c r="C537" s="161">
        <v>221430</v>
      </c>
      <c r="D537" s="161">
        <v>13</v>
      </c>
      <c r="E537" s="323">
        <v>2285</v>
      </c>
      <c r="F537" s="324">
        <v>2399</v>
      </c>
      <c r="G537" s="325"/>
      <c r="H537" s="324"/>
      <c r="I537" s="323"/>
      <c r="J537" s="324"/>
      <c r="K537" s="325"/>
      <c r="L537" s="324"/>
      <c r="M537" s="323"/>
      <c r="N537" s="324"/>
      <c r="O537" s="325"/>
      <c r="P537" s="324"/>
      <c r="Q537" s="323"/>
      <c r="R537" s="324"/>
      <c r="S537" s="325"/>
      <c r="T537" s="324"/>
      <c r="U537" s="323"/>
      <c r="V537" s="324"/>
      <c r="W537" s="325"/>
      <c r="X537" s="324"/>
      <c r="Y537" s="323"/>
      <c r="Z537" s="324"/>
      <c r="AA537" s="325"/>
      <c r="AB537" s="324"/>
      <c r="AC537" s="323"/>
      <c r="AD537" s="324"/>
      <c r="AE537" s="325"/>
      <c r="AF537" s="324"/>
      <c r="AG537" s="323"/>
      <c r="AH537" s="324"/>
      <c r="AI537" s="325"/>
      <c r="AJ537" s="324"/>
      <c r="AK537" s="323"/>
      <c r="AL537" s="324"/>
      <c r="AM537" s="325"/>
      <c r="AN537" s="324"/>
    </row>
    <row r="538" spans="1:40">
      <c r="A538" s="161" t="s">
        <v>215</v>
      </c>
      <c r="B538" s="162" t="s">
        <v>402</v>
      </c>
      <c r="C538" s="161">
        <v>219994</v>
      </c>
      <c r="D538" s="161">
        <v>13</v>
      </c>
      <c r="E538" s="323">
        <v>2285</v>
      </c>
      <c r="F538" s="324">
        <v>2399</v>
      </c>
      <c r="G538" s="325"/>
      <c r="H538" s="324"/>
      <c r="I538" s="323"/>
      <c r="J538" s="324"/>
      <c r="K538" s="325"/>
      <c r="L538" s="324"/>
      <c r="M538" s="323"/>
      <c r="N538" s="324"/>
      <c r="O538" s="325"/>
      <c r="P538" s="324"/>
      <c r="Q538" s="323"/>
      <c r="R538" s="324"/>
      <c r="S538" s="325"/>
      <c r="T538" s="324"/>
      <c r="U538" s="323"/>
      <c r="V538" s="324"/>
      <c r="W538" s="325"/>
      <c r="X538" s="324"/>
      <c r="Y538" s="323"/>
      <c r="Z538" s="324"/>
      <c r="AA538" s="325"/>
      <c r="AB538" s="324"/>
      <c r="AC538" s="323"/>
      <c r="AD538" s="324"/>
      <c r="AE538" s="325"/>
      <c r="AF538" s="324"/>
      <c r="AG538" s="323"/>
      <c r="AH538" s="324"/>
      <c r="AI538" s="325"/>
      <c r="AJ538" s="324"/>
      <c r="AK538" s="323"/>
      <c r="AL538" s="324"/>
      <c r="AM538" s="325"/>
      <c r="AN538" s="324"/>
    </row>
    <row r="539" spans="1:40">
      <c r="A539" s="161" t="s">
        <v>215</v>
      </c>
      <c r="B539" s="162" t="s">
        <v>403</v>
      </c>
      <c r="C539" s="161">
        <v>220127</v>
      </c>
      <c r="D539" s="161">
        <v>13</v>
      </c>
      <c r="E539" s="323">
        <v>2285</v>
      </c>
      <c r="F539" s="324">
        <v>2399</v>
      </c>
      <c r="G539" s="325"/>
      <c r="H539" s="324"/>
      <c r="I539" s="323"/>
      <c r="J539" s="324"/>
      <c r="K539" s="325"/>
      <c r="L539" s="324"/>
      <c r="M539" s="323"/>
      <c r="N539" s="324"/>
      <c r="O539" s="325"/>
      <c r="P539" s="324"/>
      <c r="Q539" s="323"/>
      <c r="R539" s="324"/>
      <c r="S539" s="325"/>
      <c r="T539" s="324"/>
      <c r="U539" s="323"/>
      <c r="V539" s="324"/>
      <c r="W539" s="325"/>
      <c r="X539" s="324"/>
      <c r="Y539" s="323"/>
      <c r="Z539" s="324"/>
      <c r="AA539" s="325"/>
      <c r="AB539" s="324"/>
      <c r="AC539" s="323"/>
      <c r="AD539" s="324"/>
      <c r="AE539" s="325"/>
      <c r="AF539" s="324"/>
      <c r="AG539" s="323"/>
      <c r="AH539" s="324"/>
      <c r="AI539" s="325"/>
      <c r="AJ539" s="324"/>
      <c r="AK539" s="323"/>
      <c r="AL539" s="324"/>
      <c r="AM539" s="325"/>
      <c r="AN539" s="324"/>
    </row>
    <row r="540" spans="1:40">
      <c r="A540" s="161" t="s">
        <v>215</v>
      </c>
      <c r="B540" s="162" t="s">
        <v>404</v>
      </c>
      <c r="C540" s="161">
        <v>220251</v>
      </c>
      <c r="D540" s="161">
        <v>13</v>
      </c>
      <c r="E540" s="323">
        <v>2285</v>
      </c>
      <c r="F540" s="324">
        <v>2399</v>
      </c>
      <c r="G540" s="325"/>
      <c r="H540" s="324"/>
      <c r="I540" s="323"/>
      <c r="J540" s="324"/>
      <c r="K540" s="325"/>
      <c r="L540" s="324"/>
      <c r="M540" s="323"/>
      <c r="N540" s="324"/>
      <c r="O540" s="325"/>
      <c r="P540" s="324"/>
      <c r="Q540" s="323"/>
      <c r="R540" s="324"/>
      <c r="S540" s="325"/>
      <c r="T540" s="324"/>
      <c r="U540" s="323"/>
      <c r="V540" s="324"/>
      <c r="W540" s="325"/>
      <c r="X540" s="324"/>
      <c r="Y540" s="323"/>
      <c r="Z540" s="324"/>
      <c r="AA540" s="325"/>
      <c r="AB540" s="324"/>
      <c r="AC540" s="323"/>
      <c r="AD540" s="324"/>
      <c r="AE540" s="325"/>
      <c r="AF540" s="324"/>
      <c r="AG540" s="323"/>
      <c r="AH540" s="324"/>
      <c r="AI540" s="325"/>
      <c r="AJ540" s="324"/>
      <c r="AK540" s="323"/>
      <c r="AL540" s="324"/>
      <c r="AM540" s="325"/>
      <c r="AN540" s="324"/>
    </row>
    <row r="541" spans="1:40">
      <c r="A541" s="161" t="s">
        <v>215</v>
      </c>
      <c r="B541" s="162" t="s">
        <v>405</v>
      </c>
      <c r="C541" s="161">
        <v>220279</v>
      </c>
      <c r="D541" s="161">
        <v>13</v>
      </c>
      <c r="E541" s="323">
        <v>2285</v>
      </c>
      <c r="F541" s="324">
        <v>2399</v>
      </c>
      <c r="G541" s="325"/>
      <c r="H541" s="324"/>
      <c r="I541" s="323"/>
      <c r="J541" s="324"/>
      <c r="K541" s="325"/>
      <c r="L541" s="324"/>
      <c r="M541" s="323"/>
      <c r="N541" s="324"/>
      <c r="O541" s="325"/>
      <c r="P541" s="324"/>
      <c r="Q541" s="323"/>
      <c r="R541" s="324"/>
      <c r="S541" s="325"/>
      <c r="T541" s="324"/>
      <c r="U541" s="323"/>
      <c r="V541" s="324"/>
      <c r="W541" s="325"/>
      <c r="X541" s="324"/>
      <c r="Y541" s="323"/>
      <c r="Z541" s="324"/>
      <c r="AA541" s="325"/>
      <c r="AB541" s="324"/>
      <c r="AC541" s="323"/>
      <c r="AD541" s="324"/>
      <c r="AE541" s="325"/>
      <c r="AF541" s="324"/>
      <c r="AG541" s="323"/>
      <c r="AH541" s="324"/>
      <c r="AI541" s="325"/>
      <c r="AJ541" s="324"/>
      <c r="AK541" s="323"/>
      <c r="AL541" s="324"/>
      <c r="AM541" s="325"/>
      <c r="AN541" s="324"/>
    </row>
    <row r="542" spans="1:40">
      <c r="A542" s="161" t="s">
        <v>215</v>
      </c>
      <c r="B542" s="162" t="s">
        <v>280</v>
      </c>
      <c r="C542" s="161">
        <v>220321</v>
      </c>
      <c r="D542" s="161">
        <v>13</v>
      </c>
      <c r="E542" s="323">
        <v>2285</v>
      </c>
      <c r="F542" s="324">
        <v>2399</v>
      </c>
      <c r="G542" s="325"/>
      <c r="H542" s="324"/>
      <c r="I542" s="323"/>
      <c r="J542" s="324"/>
      <c r="K542" s="325"/>
      <c r="L542" s="324"/>
      <c r="M542" s="323"/>
      <c r="N542" s="324"/>
      <c r="O542" s="325"/>
      <c r="P542" s="324"/>
      <c r="Q542" s="323"/>
      <c r="R542" s="324"/>
      <c r="S542" s="325"/>
      <c r="T542" s="324"/>
      <c r="U542" s="323"/>
      <c r="V542" s="324"/>
      <c r="W542" s="325"/>
      <c r="X542" s="324"/>
      <c r="Y542" s="323"/>
      <c r="Z542" s="324"/>
      <c r="AA542" s="325"/>
      <c r="AB542" s="324"/>
      <c r="AC542" s="323"/>
      <c r="AD542" s="324"/>
      <c r="AE542" s="325"/>
      <c r="AF542" s="324"/>
      <c r="AG542" s="323"/>
      <c r="AH542" s="324"/>
      <c r="AI542" s="325"/>
      <c r="AJ542" s="324"/>
      <c r="AK542" s="323"/>
      <c r="AL542" s="324"/>
      <c r="AM542" s="325"/>
      <c r="AN542" s="324"/>
    </row>
    <row r="543" spans="1:40">
      <c r="A543" s="161" t="s">
        <v>215</v>
      </c>
      <c r="B543" s="162" t="s">
        <v>406</v>
      </c>
      <c r="C543" s="161">
        <v>220394</v>
      </c>
      <c r="D543" s="161">
        <v>13</v>
      </c>
      <c r="E543" s="323">
        <v>2285</v>
      </c>
      <c r="F543" s="324">
        <v>2399</v>
      </c>
      <c r="G543" s="325"/>
      <c r="H543" s="324"/>
      <c r="I543" s="323"/>
      <c r="J543" s="324"/>
      <c r="K543" s="325"/>
      <c r="L543" s="324"/>
      <c r="M543" s="323"/>
      <c r="N543" s="324"/>
      <c r="O543" s="325"/>
      <c r="P543" s="324"/>
      <c r="Q543" s="323"/>
      <c r="R543" s="324"/>
      <c r="S543" s="325"/>
      <c r="T543" s="324"/>
      <c r="U543" s="323"/>
      <c r="V543" s="324"/>
      <c r="W543" s="325"/>
      <c r="X543" s="324"/>
      <c r="Y543" s="323"/>
      <c r="Z543" s="324"/>
      <c r="AA543" s="325"/>
      <c r="AB543" s="324"/>
      <c r="AC543" s="323"/>
      <c r="AD543" s="324"/>
      <c r="AE543" s="325"/>
      <c r="AF543" s="324"/>
      <c r="AG543" s="323"/>
      <c r="AH543" s="324"/>
      <c r="AI543" s="325"/>
      <c r="AJ543" s="324"/>
      <c r="AK543" s="323"/>
      <c r="AL543" s="324"/>
      <c r="AM543" s="325"/>
      <c r="AN543" s="324"/>
    </row>
    <row r="544" spans="1:40">
      <c r="A544" s="161" t="s">
        <v>215</v>
      </c>
      <c r="B544" s="162" t="s">
        <v>407</v>
      </c>
      <c r="C544" s="161">
        <v>221616</v>
      </c>
      <c r="D544" s="161">
        <v>13</v>
      </c>
      <c r="E544" s="323">
        <v>2285</v>
      </c>
      <c r="F544" s="324">
        <v>2399</v>
      </c>
      <c r="G544" s="325"/>
      <c r="H544" s="324"/>
      <c r="I544" s="323"/>
      <c r="J544" s="324"/>
      <c r="K544" s="325"/>
      <c r="L544" s="324"/>
      <c r="M544" s="323"/>
      <c r="N544" s="324"/>
      <c r="O544" s="325"/>
      <c r="P544" s="324"/>
      <c r="Q544" s="323"/>
      <c r="R544" s="324"/>
      <c r="S544" s="325"/>
      <c r="T544" s="324"/>
      <c r="U544" s="323"/>
      <c r="V544" s="324"/>
      <c r="W544" s="325"/>
      <c r="X544" s="324"/>
      <c r="Y544" s="323"/>
      <c r="Z544" s="324"/>
      <c r="AA544" s="325"/>
      <c r="AB544" s="324"/>
      <c r="AC544" s="323"/>
      <c r="AD544" s="324"/>
      <c r="AE544" s="325"/>
      <c r="AF544" s="324"/>
      <c r="AG544" s="323"/>
      <c r="AH544" s="324"/>
      <c r="AI544" s="325"/>
      <c r="AJ544" s="324"/>
      <c r="AK544" s="323"/>
      <c r="AL544" s="324"/>
      <c r="AM544" s="325"/>
      <c r="AN544" s="324"/>
    </row>
    <row r="545" spans="1:40">
      <c r="A545" s="161" t="s">
        <v>215</v>
      </c>
      <c r="B545" s="162" t="s">
        <v>408</v>
      </c>
      <c r="C545" s="161">
        <v>221625</v>
      </c>
      <c r="D545" s="161">
        <v>13</v>
      </c>
      <c r="E545" s="323">
        <v>2285</v>
      </c>
      <c r="F545" s="324">
        <v>2399</v>
      </c>
      <c r="G545" s="325"/>
      <c r="H545" s="324"/>
      <c r="I545" s="323"/>
      <c r="J545" s="324"/>
      <c r="K545" s="325"/>
      <c r="L545" s="324"/>
      <c r="M545" s="323"/>
      <c r="N545" s="324"/>
      <c r="O545" s="325"/>
      <c r="P545" s="324"/>
      <c r="Q545" s="323"/>
      <c r="R545" s="324"/>
      <c r="S545" s="325"/>
      <c r="T545" s="324"/>
      <c r="U545" s="323"/>
      <c r="V545" s="324"/>
      <c r="W545" s="325"/>
      <c r="X545" s="324"/>
      <c r="Y545" s="323"/>
      <c r="Z545" s="324"/>
      <c r="AA545" s="325"/>
      <c r="AB545" s="324"/>
      <c r="AC545" s="323"/>
      <c r="AD545" s="324"/>
      <c r="AE545" s="325"/>
      <c r="AF545" s="324"/>
      <c r="AG545" s="323"/>
      <c r="AH545" s="324"/>
      <c r="AI545" s="325"/>
      <c r="AJ545" s="324"/>
      <c r="AK545" s="323"/>
      <c r="AL545" s="324"/>
      <c r="AM545" s="325"/>
      <c r="AN545" s="324"/>
    </row>
    <row r="546" spans="1:40">
      <c r="A546" s="161" t="s">
        <v>215</v>
      </c>
      <c r="B546" s="162" t="s">
        <v>409</v>
      </c>
      <c r="C546" s="161">
        <v>220640</v>
      </c>
      <c r="D546" s="161">
        <v>13</v>
      </c>
      <c r="E546" s="323">
        <v>2285</v>
      </c>
      <c r="F546" s="324">
        <v>2399</v>
      </c>
      <c r="G546" s="325"/>
      <c r="H546" s="324"/>
      <c r="I546" s="323"/>
      <c r="J546" s="324"/>
      <c r="K546" s="325"/>
      <c r="L546" s="324"/>
      <c r="M546" s="323"/>
      <c r="N546" s="324"/>
      <c r="O546" s="325"/>
      <c r="P546" s="324"/>
      <c r="Q546" s="323"/>
      <c r="R546" s="324"/>
      <c r="S546" s="325"/>
      <c r="T546" s="324"/>
      <c r="U546" s="323"/>
      <c r="V546" s="324"/>
      <c r="W546" s="325"/>
      <c r="X546" s="324"/>
      <c r="Y546" s="323"/>
      <c r="Z546" s="324"/>
      <c r="AA546" s="325"/>
      <c r="AB546" s="324"/>
      <c r="AC546" s="323"/>
      <c r="AD546" s="324"/>
      <c r="AE546" s="325"/>
      <c r="AF546" s="324"/>
      <c r="AG546" s="323"/>
      <c r="AH546" s="324"/>
      <c r="AI546" s="325"/>
      <c r="AJ546" s="324"/>
      <c r="AK546" s="323"/>
      <c r="AL546" s="324"/>
      <c r="AM546" s="325"/>
      <c r="AN546" s="324"/>
    </row>
    <row r="547" spans="1:40">
      <c r="A547" s="161" t="s">
        <v>215</v>
      </c>
      <c r="B547" s="162" t="s">
        <v>410</v>
      </c>
      <c r="C547" s="161">
        <v>220756</v>
      </c>
      <c r="D547" s="161">
        <v>13</v>
      </c>
      <c r="E547" s="323">
        <v>2285</v>
      </c>
      <c r="F547" s="324">
        <v>2399</v>
      </c>
      <c r="G547" s="325"/>
      <c r="H547" s="324"/>
      <c r="I547" s="323"/>
      <c r="J547" s="324"/>
      <c r="K547" s="325"/>
      <c r="L547" s="324"/>
      <c r="M547" s="323"/>
      <c r="N547" s="324"/>
      <c r="O547" s="325"/>
      <c r="P547" s="324"/>
      <c r="Q547" s="323"/>
      <c r="R547" s="324"/>
      <c r="S547" s="325"/>
      <c r="T547" s="324"/>
      <c r="U547" s="323"/>
      <c r="V547" s="324"/>
      <c r="W547" s="325"/>
      <c r="X547" s="324"/>
      <c r="Y547" s="323"/>
      <c r="Z547" s="324"/>
      <c r="AA547" s="325"/>
      <c r="AB547" s="324"/>
      <c r="AC547" s="323"/>
      <c r="AD547" s="324"/>
      <c r="AE547" s="325"/>
      <c r="AF547" s="324"/>
      <c r="AG547" s="323"/>
      <c r="AH547" s="324"/>
      <c r="AI547" s="325"/>
      <c r="AJ547" s="324"/>
      <c r="AK547" s="323"/>
      <c r="AL547" s="324"/>
      <c r="AM547" s="325"/>
      <c r="AN547" s="324"/>
    </row>
    <row r="548" spans="1:40">
      <c r="A548" s="161" t="s">
        <v>215</v>
      </c>
      <c r="B548" s="162" t="s">
        <v>411</v>
      </c>
      <c r="C548" s="161">
        <v>221607</v>
      </c>
      <c r="D548" s="161">
        <v>13</v>
      </c>
      <c r="E548" s="323">
        <v>2285</v>
      </c>
      <c r="F548" s="324">
        <v>2399</v>
      </c>
      <c r="G548" s="325"/>
      <c r="H548" s="324"/>
      <c r="I548" s="323"/>
      <c r="J548" s="324"/>
      <c r="K548" s="325"/>
      <c r="L548" s="324"/>
      <c r="M548" s="323"/>
      <c r="N548" s="324"/>
      <c r="O548" s="325"/>
      <c r="P548" s="324"/>
      <c r="Q548" s="323"/>
      <c r="R548" s="324"/>
      <c r="S548" s="325"/>
      <c r="T548" s="324"/>
      <c r="U548" s="323"/>
      <c r="V548" s="324"/>
      <c r="W548" s="325"/>
      <c r="X548" s="324"/>
      <c r="Y548" s="323"/>
      <c r="Z548" s="324"/>
      <c r="AA548" s="325"/>
      <c r="AB548" s="324"/>
      <c r="AC548" s="323"/>
      <c r="AD548" s="324"/>
      <c r="AE548" s="325"/>
      <c r="AF548" s="324"/>
      <c r="AG548" s="323"/>
      <c r="AH548" s="324"/>
      <c r="AI548" s="325"/>
      <c r="AJ548" s="324"/>
      <c r="AK548" s="323"/>
      <c r="AL548" s="324"/>
      <c r="AM548" s="325"/>
      <c r="AN548" s="324"/>
    </row>
    <row r="549" spans="1:40">
      <c r="A549" s="161" t="s">
        <v>215</v>
      </c>
      <c r="B549" s="164" t="s">
        <v>290</v>
      </c>
      <c r="C549" s="161">
        <v>220853</v>
      </c>
      <c r="D549" s="161">
        <v>13</v>
      </c>
      <c r="E549" s="323">
        <v>2285</v>
      </c>
      <c r="F549" s="324">
        <v>2399</v>
      </c>
      <c r="G549" s="325"/>
      <c r="H549" s="324"/>
      <c r="I549" s="323"/>
      <c r="J549" s="324"/>
      <c r="K549" s="325"/>
      <c r="L549" s="324"/>
      <c r="M549" s="323"/>
      <c r="N549" s="324"/>
      <c r="O549" s="325"/>
      <c r="P549" s="324"/>
      <c r="Q549" s="323"/>
      <c r="R549" s="324"/>
      <c r="S549" s="325"/>
      <c r="T549" s="324"/>
      <c r="U549" s="323"/>
      <c r="V549" s="324"/>
      <c r="W549" s="325"/>
      <c r="X549" s="324"/>
      <c r="Y549" s="323"/>
      <c r="Z549" s="324"/>
      <c r="AA549" s="325"/>
      <c r="AB549" s="324"/>
      <c r="AC549" s="323"/>
      <c r="AD549" s="324"/>
      <c r="AE549" s="325"/>
      <c r="AF549" s="324"/>
      <c r="AG549" s="323"/>
      <c r="AH549" s="324"/>
      <c r="AI549" s="325"/>
      <c r="AJ549" s="324"/>
      <c r="AK549" s="323"/>
      <c r="AL549" s="324"/>
      <c r="AM549" s="325"/>
      <c r="AN549" s="324"/>
    </row>
    <row r="550" spans="1:40">
      <c r="A550" s="161" t="s">
        <v>215</v>
      </c>
      <c r="B550" s="162" t="s">
        <v>291</v>
      </c>
      <c r="C550" s="161">
        <v>221050</v>
      </c>
      <c r="D550" s="161">
        <v>13</v>
      </c>
      <c r="E550" s="323">
        <v>2285</v>
      </c>
      <c r="F550" s="324">
        <v>2399</v>
      </c>
      <c r="G550" s="325"/>
      <c r="H550" s="324"/>
      <c r="I550" s="323"/>
      <c r="J550" s="324"/>
      <c r="K550" s="325"/>
      <c r="L550" s="324"/>
      <c r="M550" s="323"/>
      <c r="N550" s="324"/>
      <c r="O550" s="325"/>
      <c r="P550" s="324"/>
      <c r="Q550" s="323"/>
      <c r="R550" s="324"/>
      <c r="S550" s="325"/>
      <c r="T550" s="324"/>
      <c r="U550" s="323"/>
      <c r="V550" s="324"/>
      <c r="W550" s="325"/>
      <c r="X550" s="324"/>
      <c r="Y550" s="323"/>
      <c r="Z550" s="324"/>
      <c r="AA550" s="325"/>
      <c r="AB550" s="324"/>
      <c r="AC550" s="323"/>
      <c r="AD550" s="324"/>
      <c r="AE550" s="325"/>
      <c r="AF550" s="324"/>
      <c r="AG550" s="323"/>
      <c r="AH550" s="324"/>
      <c r="AI550" s="325"/>
      <c r="AJ550" s="324"/>
      <c r="AK550" s="323"/>
      <c r="AL550" s="324"/>
      <c r="AM550" s="325"/>
      <c r="AN550" s="324"/>
    </row>
    <row r="551" spans="1:40">
      <c r="A551" s="161" t="s">
        <v>215</v>
      </c>
      <c r="B551" s="162" t="s">
        <v>292</v>
      </c>
      <c r="C551" s="161">
        <v>221102</v>
      </c>
      <c r="D551" s="161">
        <v>13</v>
      </c>
      <c r="E551" s="323">
        <v>2285</v>
      </c>
      <c r="F551" s="324">
        <v>2399</v>
      </c>
      <c r="G551" s="325"/>
      <c r="H551" s="324"/>
      <c r="I551" s="323"/>
      <c r="J551" s="324"/>
      <c r="K551" s="325"/>
      <c r="L551" s="324"/>
      <c r="M551" s="323"/>
      <c r="N551" s="324"/>
      <c r="O551" s="325"/>
      <c r="P551" s="324"/>
      <c r="Q551" s="323"/>
      <c r="R551" s="324"/>
      <c r="S551" s="325"/>
      <c r="T551" s="324"/>
      <c r="U551" s="323"/>
      <c r="V551" s="324"/>
      <c r="W551" s="325"/>
      <c r="X551" s="324"/>
      <c r="Y551" s="323"/>
      <c r="Z551" s="324"/>
      <c r="AA551" s="325"/>
      <c r="AB551" s="324"/>
      <c r="AC551" s="323"/>
      <c r="AD551" s="324"/>
      <c r="AE551" s="325"/>
      <c r="AF551" s="324"/>
      <c r="AG551" s="323"/>
      <c r="AH551" s="324"/>
      <c r="AI551" s="325"/>
      <c r="AJ551" s="324"/>
      <c r="AK551" s="323"/>
      <c r="AL551" s="324"/>
      <c r="AM551" s="325"/>
      <c r="AN551" s="324"/>
    </row>
    <row r="552" spans="1:40">
      <c r="A552" s="161" t="s">
        <v>215</v>
      </c>
      <c r="B552" s="162" t="s">
        <v>293</v>
      </c>
      <c r="C552" s="161">
        <v>248925</v>
      </c>
      <c r="D552" s="161">
        <v>13</v>
      </c>
      <c r="E552" s="323">
        <v>2285</v>
      </c>
      <c r="F552" s="324">
        <v>2399</v>
      </c>
      <c r="G552" s="325"/>
      <c r="H552" s="324"/>
      <c r="I552" s="323"/>
      <c r="J552" s="324"/>
      <c r="K552" s="325"/>
      <c r="L552" s="324"/>
      <c r="M552" s="323"/>
      <c r="N552" s="324"/>
      <c r="O552" s="325"/>
      <c r="P552" s="324"/>
      <c r="Q552" s="323"/>
      <c r="R552" s="324"/>
      <c r="S552" s="325"/>
      <c r="T552" s="324"/>
      <c r="U552" s="323"/>
      <c r="V552" s="324"/>
      <c r="W552" s="325"/>
      <c r="X552" s="324"/>
      <c r="Y552" s="323"/>
      <c r="Z552" s="324"/>
      <c r="AA552" s="325"/>
      <c r="AB552" s="324"/>
      <c r="AC552" s="323"/>
      <c r="AD552" s="324"/>
      <c r="AE552" s="325"/>
      <c r="AF552" s="324"/>
      <c r="AG552" s="323"/>
      <c r="AH552" s="324"/>
      <c r="AI552" s="325"/>
      <c r="AJ552" s="324"/>
      <c r="AK552" s="323"/>
      <c r="AL552" s="324"/>
      <c r="AM552" s="325"/>
      <c r="AN552" s="324"/>
    </row>
    <row r="553" spans="1:40">
      <c r="A553" s="161" t="s">
        <v>215</v>
      </c>
      <c r="B553" s="162" t="s">
        <v>294</v>
      </c>
      <c r="C553" s="161">
        <v>221236</v>
      </c>
      <c r="D553" s="161">
        <v>13</v>
      </c>
      <c r="E553" s="323">
        <v>2285</v>
      </c>
      <c r="F553" s="324">
        <v>2399</v>
      </c>
      <c r="G553" s="325"/>
      <c r="H553" s="324"/>
      <c r="I553" s="323"/>
      <c r="J553" s="324"/>
      <c r="K553" s="325"/>
      <c r="L553" s="324"/>
      <c r="M553" s="323"/>
      <c r="N553" s="324"/>
      <c r="O553" s="325"/>
      <c r="P553" s="324"/>
      <c r="Q553" s="323"/>
      <c r="R553" s="324"/>
      <c r="S553" s="325"/>
      <c r="T553" s="324"/>
      <c r="U553" s="323"/>
      <c r="V553" s="324"/>
      <c r="W553" s="325"/>
      <c r="X553" s="324"/>
      <c r="Y553" s="323"/>
      <c r="Z553" s="324"/>
      <c r="AA553" s="325"/>
      <c r="AB553" s="324"/>
      <c r="AC553" s="323"/>
      <c r="AD553" s="324"/>
      <c r="AE553" s="325"/>
      <c r="AF553" s="324"/>
      <c r="AG553" s="323"/>
      <c r="AH553" s="324"/>
      <c r="AI553" s="325"/>
      <c r="AJ553" s="324"/>
      <c r="AK553" s="323"/>
      <c r="AL553" s="324"/>
      <c r="AM553" s="325"/>
      <c r="AN553" s="324"/>
    </row>
    <row r="554" spans="1:40">
      <c r="A554" s="161" t="s">
        <v>215</v>
      </c>
      <c r="B554" s="162" t="s">
        <v>295</v>
      </c>
      <c r="C554" s="161">
        <v>221582</v>
      </c>
      <c r="D554" s="161">
        <v>13</v>
      </c>
      <c r="E554" s="323">
        <v>2285</v>
      </c>
      <c r="F554" s="324">
        <v>2399</v>
      </c>
      <c r="G554" s="325"/>
      <c r="H554" s="324"/>
      <c r="I554" s="323"/>
      <c r="J554" s="324"/>
      <c r="K554" s="325"/>
      <c r="L554" s="324"/>
      <c r="M554" s="323"/>
      <c r="N554" s="324"/>
      <c r="O554" s="325"/>
      <c r="P554" s="324"/>
      <c r="Q554" s="323"/>
      <c r="R554" s="324"/>
      <c r="S554" s="325"/>
      <c r="T554" s="324"/>
      <c r="U554" s="323"/>
      <c r="V554" s="324"/>
      <c r="W554" s="325"/>
      <c r="X554" s="324"/>
      <c r="Y554" s="323"/>
      <c r="Z554" s="324"/>
      <c r="AA554" s="325"/>
      <c r="AB554" s="324"/>
      <c r="AC554" s="323"/>
      <c r="AD554" s="324"/>
      <c r="AE554" s="325"/>
      <c r="AF554" s="324"/>
      <c r="AG554" s="323"/>
      <c r="AH554" s="324"/>
      <c r="AI554" s="325"/>
      <c r="AJ554" s="324"/>
      <c r="AK554" s="323"/>
      <c r="AL554" s="324"/>
      <c r="AM554" s="325"/>
      <c r="AN554" s="324"/>
    </row>
    <row r="555" spans="1:40">
      <c r="A555" s="161" t="s">
        <v>215</v>
      </c>
      <c r="B555" s="162" t="s">
        <v>296</v>
      </c>
      <c r="C555" s="161">
        <v>221281</v>
      </c>
      <c r="D555" s="161">
        <v>13</v>
      </c>
      <c r="E555" s="323">
        <v>2285</v>
      </c>
      <c r="F555" s="324">
        <v>2399</v>
      </c>
      <c r="G555" s="325"/>
      <c r="H555" s="324"/>
      <c r="I555" s="323"/>
      <c r="J555" s="324"/>
      <c r="K555" s="325"/>
      <c r="L555" s="324"/>
      <c r="M555" s="323"/>
      <c r="N555" s="324"/>
      <c r="O555" s="325"/>
      <c r="P555" s="324"/>
      <c r="Q555" s="323"/>
      <c r="R555" s="324"/>
      <c r="S555" s="325"/>
      <c r="T555" s="324"/>
      <c r="U555" s="323"/>
      <c r="V555" s="324"/>
      <c r="W555" s="325"/>
      <c r="X555" s="324"/>
      <c r="Y555" s="323"/>
      <c r="Z555" s="324"/>
      <c r="AA555" s="325"/>
      <c r="AB555" s="324"/>
      <c r="AC555" s="323"/>
      <c r="AD555" s="324"/>
      <c r="AE555" s="325"/>
      <c r="AF555" s="324"/>
      <c r="AG555" s="323"/>
      <c r="AH555" s="324"/>
      <c r="AI555" s="325"/>
      <c r="AJ555" s="324"/>
      <c r="AK555" s="323"/>
      <c r="AL555" s="324"/>
      <c r="AM555" s="325"/>
      <c r="AN555" s="324"/>
    </row>
    <row r="556" spans="1:40">
      <c r="A556" s="161" t="s">
        <v>215</v>
      </c>
      <c r="B556" s="162" t="s">
        <v>297</v>
      </c>
      <c r="C556" s="161">
        <v>221333</v>
      </c>
      <c r="D556" s="161">
        <v>13</v>
      </c>
      <c r="E556" s="323">
        <v>2285</v>
      </c>
      <c r="F556" s="324">
        <v>2399</v>
      </c>
      <c r="G556" s="325"/>
      <c r="H556" s="324"/>
      <c r="I556" s="323"/>
      <c r="J556" s="324"/>
      <c r="K556" s="325"/>
      <c r="L556" s="324"/>
      <c r="M556" s="323"/>
      <c r="N556" s="324"/>
      <c r="O556" s="325"/>
      <c r="P556" s="324"/>
      <c r="Q556" s="323"/>
      <c r="R556" s="324"/>
      <c r="S556" s="325"/>
      <c r="T556" s="324"/>
      <c r="U556" s="323"/>
      <c r="V556" s="324"/>
      <c r="W556" s="325"/>
      <c r="X556" s="324"/>
      <c r="Y556" s="323"/>
      <c r="Z556" s="324"/>
      <c r="AA556" s="325"/>
      <c r="AB556" s="324"/>
      <c r="AC556" s="323"/>
      <c r="AD556" s="324"/>
      <c r="AE556" s="325"/>
      <c r="AF556" s="324"/>
      <c r="AG556" s="323"/>
      <c r="AH556" s="324"/>
      <c r="AI556" s="325"/>
      <c r="AJ556" s="324"/>
      <c r="AK556" s="323"/>
      <c r="AL556" s="324"/>
      <c r="AM556" s="325"/>
      <c r="AN556" s="324"/>
    </row>
    <row r="557" spans="1:40">
      <c r="A557" s="161" t="s">
        <v>215</v>
      </c>
      <c r="B557" s="162" t="s">
        <v>298</v>
      </c>
      <c r="C557" s="161">
        <v>221388</v>
      </c>
      <c r="D557" s="161">
        <v>13</v>
      </c>
      <c r="E557" s="323">
        <v>2285</v>
      </c>
      <c r="F557" s="324">
        <v>2399</v>
      </c>
      <c r="G557" s="325"/>
      <c r="H557" s="324"/>
      <c r="I557" s="323"/>
      <c r="J557" s="324"/>
      <c r="K557" s="325"/>
      <c r="L557" s="324"/>
      <c r="M557" s="323"/>
      <c r="N557" s="324"/>
      <c r="O557" s="325"/>
      <c r="P557" s="324"/>
      <c r="Q557" s="323"/>
      <c r="R557" s="324"/>
      <c r="S557" s="325"/>
      <c r="T557" s="324"/>
      <c r="U557" s="323"/>
      <c r="V557" s="324"/>
      <c r="W557" s="325"/>
      <c r="X557" s="324"/>
      <c r="Y557" s="323"/>
      <c r="Z557" s="324"/>
      <c r="AA557" s="325"/>
      <c r="AB557" s="324"/>
      <c r="AC557" s="323"/>
      <c r="AD557" s="324"/>
      <c r="AE557" s="325"/>
      <c r="AF557" s="324"/>
      <c r="AG557" s="323"/>
      <c r="AH557" s="324"/>
      <c r="AI557" s="325"/>
      <c r="AJ557" s="324"/>
      <c r="AK557" s="323"/>
      <c r="AL557" s="324"/>
      <c r="AM557" s="325"/>
      <c r="AN557" s="324"/>
    </row>
    <row r="558" spans="1:40">
      <c r="A558" s="161" t="s">
        <v>215</v>
      </c>
      <c r="B558" s="162" t="s">
        <v>299</v>
      </c>
      <c r="C558" s="161">
        <v>221494</v>
      </c>
      <c r="D558" s="161">
        <v>13</v>
      </c>
      <c r="E558" s="323">
        <v>2285</v>
      </c>
      <c r="F558" s="324">
        <v>2399</v>
      </c>
      <c r="G558" s="325"/>
      <c r="H558" s="324"/>
      <c r="I558" s="323"/>
      <c r="J558" s="324"/>
      <c r="K558" s="325"/>
      <c r="L558" s="324"/>
      <c r="M558" s="323"/>
      <c r="N558" s="324"/>
      <c r="O558" s="325"/>
      <c r="P558" s="324"/>
      <c r="Q558" s="323"/>
      <c r="R558" s="324"/>
      <c r="S558" s="325"/>
      <c r="T558" s="324"/>
      <c r="U558" s="323"/>
      <c r="V558" s="324"/>
      <c r="W558" s="325"/>
      <c r="X558" s="324"/>
      <c r="Y558" s="323"/>
      <c r="Z558" s="324"/>
      <c r="AA558" s="325"/>
      <c r="AB558" s="324"/>
      <c r="AC558" s="323"/>
      <c r="AD558" s="324"/>
      <c r="AE558" s="325"/>
      <c r="AF558" s="324"/>
      <c r="AG558" s="323"/>
      <c r="AH558" s="324"/>
      <c r="AI558" s="325"/>
      <c r="AJ558" s="324"/>
      <c r="AK558" s="323"/>
      <c r="AL558" s="324"/>
      <c r="AM558" s="325"/>
      <c r="AN558" s="324"/>
    </row>
    <row r="559" spans="1:40">
      <c r="A559" s="161" t="s">
        <v>215</v>
      </c>
      <c r="B559" s="162" t="s">
        <v>300</v>
      </c>
      <c r="C559" s="161">
        <v>221634</v>
      </c>
      <c r="D559" s="161">
        <v>13</v>
      </c>
      <c r="E559" s="323">
        <v>2285</v>
      </c>
      <c r="F559" s="324">
        <v>2399</v>
      </c>
      <c r="G559" s="325"/>
      <c r="H559" s="324"/>
      <c r="I559" s="323"/>
      <c r="J559" s="324"/>
      <c r="K559" s="325"/>
      <c r="L559" s="324"/>
      <c r="M559" s="323"/>
      <c r="N559" s="324"/>
      <c r="O559" s="325"/>
      <c r="P559" s="324"/>
      <c r="Q559" s="323"/>
      <c r="R559" s="324"/>
      <c r="S559" s="325"/>
      <c r="T559" s="324"/>
      <c r="U559" s="323"/>
      <c r="V559" s="324"/>
      <c r="W559" s="325"/>
      <c r="X559" s="324"/>
      <c r="Y559" s="323"/>
      <c r="Z559" s="324"/>
      <c r="AA559" s="325"/>
      <c r="AB559" s="324"/>
      <c r="AC559" s="323"/>
      <c r="AD559" s="324"/>
      <c r="AE559" s="325"/>
      <c r="AF559" s="324"/>
      <c r="AG559" s="323"/>
      <c r="AH559" s="324"/>
      <c r="AI559" s="325"/>
      <c r="AJ559" s="324"/>
      <c r="AK559" s="323"/>
      <c r="AL559" s="324"/>
      <c r="AM559" s="325"/>
      <c r="AN559" s="324"/>
    </row>
    <row r="560" spans="1:40">
      <c r="A560" s="161" t="s">
        <v>215</v>
      </c>
      <c r="B560" s="164" t="s">
        <v>301</v>
      </c>
      <c r="C560" s="161">
        <v>221704</v>
      </c>
      <c r="D560" s="161">
        <v>15</v>
      </c>
      <c r="E560" s="323"/>
      <c r="F560" s="324"/>
      <c r="G560" s="325"/>
      <c r="H560" s="324"/>
      <c r="I560" s="323"/>
      <c r="J560" s="324"/>
      <c r="K560" s="325"/>
      <c r="L560" s="324"/>
      <c r="M560" s="323"/>
      <c r="N560" s="324"/>
      <c r="O560" s="325"/>
      <c r="P560" s="324"/>
      <c r="Q560" s="323">
        <v>19410</v>
      </c>
      <c r="R560" s="324">
        <v>21946</v>
      </c>
      <c r="S560" s="325">
        <v>37860</v>
      </c>
      <c r="T560" s="324">
        <v>42856</v>
      </c>
      <c r="U560" s="323">
        <v>18978</v>
      </c>
      <c r="V560" s="324">
        <v>20846</v>
      </c>
      <c r="W560" s="325">
        <v>44078</v>
      </c>
      <c r="X560" s="324">
        <v>48456</v>
      </c>
      <c r="Y560" s="323">
        <v>14780</v>
      </c>
      <c r="Z560" s="324">
        <v>16236</v>
      </c>
      <c r="AA560" s="325">
        <v>28310</v>
      </c>
      <c r="AB560" s="324">
        <v>31116</v>
      </c>
      <c r="AC560" s="323"/>
      <c r="AD560" s="324"/>
      <c r="AE560" s="325"/>
      <c r="AF560" s="324"/>
      <c r="AG560" s="323"/>
      <c r="AH560" s="324"/>
      <c r="AI560" s="325"/>
      <c r="AJ560" s="324"/>
      <c r="AK560" s="323">
        <v>15348</v>
      </c>
      <c r="AL560" s="324">
        <v>18366</v>
      </c>
      <c r="AM560" s="325">
        <v>40724</v>
      </c>
      <c r="AN560" s="324">
        <v>40834</v>
      </c>
    </row>
    <row r="561" spans="1:40">
      <c r="A561" s="199" t="s">
        <v>216</v>
      </c>
      <c r="B561" s="219" t="s">
        <v>785</v>
      </c>
      <c r="C561" s="199">
        <v>228723</v>
      </c>
      <c r="D561" s="201">
        <v>1</v>
      </c>
      <c r="E561" s="323">
        <v>7899</v>
      </c>
      <c r="F561" s="324">
        <v>8176</v>
      </c>
      <c r="G561" s="325">
        <v>22330</v>
      </c>
      <c r="H561" s="324">
        <v>22701</v>
      </c>
      <c r="I561" s="323">
        <v>8102.4</v>
      </c>
      <c r="J561" s="324">
        <v>8505.6</v>
      </c>
      <c r="K561" s="325">
        <v>14846.4</v>
      </c>
      <c r="L561" s="324">
        <v>15153.599999999999</v>
      </c>
      <c r="M561" s="323"/>
      <c r="N561" s="324"/>
      <c r="O561" s="325"/>
      <c r="P561" s="324"/>
      <c r="Q561" s="323"/>
      <c r="R561" s="324"/>
      <c r="S561" s="325"/>
      <c r="T561" s="324"/>
      <c r="U561" s="323"/>
      <c r="V561" s="324"/>
      <c r="W561" s="325"/>
      <c r="X561" s="324"/>
      <c r="Y561" s="323"/>
      <c r="Z561" s="324"/>
      <c r="AA561" s="325"/>
      <c r="AB561" s="324"/>
      <c r="AC561" s="323"/>
      <c r="AD561" s="324"/>
      <c r="AE561" s="325"/>
      <c r="AF561" s="324"/>
      <c r="AG561" s="323"/>
      <c r="AH561" s="324"/>
      <c r="AI561" s="325"/>
      <c r="AJ561" s="324"/>
      <c r="AK561" s="323">
        <v>14026</v>
      </c>
      <c r="AL561" s="324">
        <v>14659</v>
      </c>
      <c r="AM561" s="325">
        <v>24826</v>
      </c>
      <c r="AN561" s="324">
        <v>25459</v>
      </c>
    </row>
    <row r="562" spans="1:40">
      <c r="A562" s="199" t="s">
        <v>216</v>
      </c>
      <c r="B562" s="219" t="s">
        <v>786</v>
      </c>
      <c r="C562" s="199">
        <v>229115</v>
      </c>
      <c r="D562" s="201">
        <v>1</v>
      </c>
      <c r="E562" s="323">
        <v>7140</v>
      </c>
      <c r="F562" s="324">
        <v>7820</v>
      </c>
      <c r="G562" s="325">
        <v>15423</v>
      </c>
      <c r="H562" s="324">
        <v>16095</v>
      </c>
      <c r="I562" s="323">
        <v>7177.2</v>
      </c>
      <c r="J562" s="324">
        <v>7944</v>
      </c>
      <c r="K562" s="325">
        <v>13849.199999999999</v>
      </c>
      <c r="L562" s="324">
        <v>14592</v>
      </c>
      <c r="M562" s="323">
        <v>11534</v>
      </c>
      <c r="N562" s="324">
        <v>12840</v>
      </c>
      <c r="O562" s="325">
        <v>17558</v>
      </c>
      <c r="P562" s="324">
        <v>18768</v>
      </c>
      <c r="Q562" s="323"/>
      <c r="R562" s="324"/>
      <c r="S562" s="325"/>
      <c r="T562" s="324"/>
      <c r="U562" s="323"/>
      <c r="V562" s="324"/>
      <c r="W562" s="325"/>
      <c r="X562" s="324"/>
      <c r="Y562" s="323"/>
      <c r="Z562" s="324"/>
      <c r="AA562" s="325"/>
      <c r="AB562" s="324"/>
      <c r="AC562" s="323"/>
      <c r="AD562" s="324"/>
      <c r="AE562" s="325"/>
      <c r="AF562" s="324"/>
      <c r="AG562" s="323"/>
      <c r="AH562" s="324"/>
      <c r="AI562" s="325"/>
      <c r="AJ562" s="324"/>
      <c r="AK562" s="323"/>
      <c r="AL562" s="324"/>
      <c r="AM562" s="325"/>
      <c r="AN562" s="324"/>
    </row>
    <row r="563" spans="1:40">
      <c r="A563" s="199" t="s">
        <v>216</v>
      </c>
      <c r="B563" s="219" t="s">
        <v>787</v>
      </c>
      <c r="C563" s="199">
        <v>225511</v>
      </c>
      <c r="D563" s="201">
        <v>1</v>
      </c>
      <c r="E563" s="323">
        <v>7962</v>
      </c>
      <c r="F563" s="324">
        <v>8326</v>
      </c>
      <c r="G563" s="325">
        <v>16598</v>
      </c>
      <c r="H563" s="324">
        <v>16598</v>
      </c>
      <c r="I563" s="323">
        <v>9391.1999999999989</v>
      </c>
      <c r="J563" s="324">
        <v>9391.1999999999989</v>
      </c>
      <c r="K563" s="325">
        <v>16132.8</v>
      </c>
      <c r="L563" s="324">
        <v>16132.8</v>
      </c>
      <c r="M563" s="323">
        <v>12578</v>
      </c>
      <c r="N563" s="324">
        <v>14764</v>
      </c>
      <c r="O563" s="325">
        <v>18602</v>
      </c>
      <c r="P563" s="324">
        <v>20692</v>
      </c>
      <c r="Q563" s="323"/>
      <c r="R563" s="324"/>
      <c r="S563" s="325"/>
      <c r="T563" s="324"/>
      <c r="U563" s="323"/>
      <c r="V563" s="324"/>
      <c r="W563" s="325"/>
      <c r="X563" s="324"/>
      <c r="Y563" s="323">
        <v>16865</v>
      </c>
      <c r="Z563" s="324">
        <v>16865</v>
      </c>
      <c r="AA563" s="325">
        <v>26213</v>
      </c>
      <c r="AB563" s="324">
        <v>26213</v>
      </c>
      <c r="AC563" s="323">
        <v>18680</v>
      </c>
      <c r="AD563" s="324">
        <v>19019</v>
      </c>
      <c r="AE563" s="325">
        <v>29920</v>
      </c>
      <c r="AF563" s="324">
        <v>29822</v>
      </c>
      <c r="AG563" s="323"/>
      <c r="AH563" s="324"/>
      <c r="AI563" s="325"/>
      <c r="AJ563" s="324"/>
      <c r="AK563" s="323"/>
      <c r="AL563" s="324"/>
      <c r="AM563" s="325"/>
      <c r="AN563" s="324"/>
    </row>
    <row r="564" spans="1:40">
      <c r="A564" s="199" t="s">
        <v>216</v>
      </c>
      <c r="B564" s="219" t="s">
        <v>788</v>
      </c>
      <c r="C564" s="199">
        <v>227216</v>
      </c>
      <c r="D564" s="201">
        <v>1</v>
      </c>
      <c r="E564" s="323">
        <v>6766</v>
      </c>
      <c r="F564" s="324">
        <v>7302</v>
      </c>
      <c r="G564" s="325">
        <v>15550</v>
      </c>
      <c r="H564" s="324">
        <v>15970</v>
      </c>
      <c r="I564" s="323">
        <v>7056</v>
      </c>
      <c r="J564" s="324">
        <v>7490.4</v>
      </c>
      <c r="K564" s="325">
        <v>13800</v>
      </c>
      <c r="L564" s="324">
        <v>14138.4</v>
      </c>
      <c r="M564" s="323"/>
      <c r="N564" s="324"/>
      <c r="O564" s="325"/>
      <c r="P564" s="324"/>
      <c r="Q564" s="323"/>
      <c r="R564" s="324"/>
      <c r="S564" s="325"/>
      <c r="T564" s="324"/>
      <c r="U564" s="323"/>
      <c r="V564" s="324"/>
      <c r="W564" s="325"/>
      <c r="X564" s="324"/>
      <c r="Y564" s="323"/>
      <c r="Z564" s="324"/>
      <c r="AA564" s="325"/>
      <c r="AB564" s="324"/>
      <c r="AC564" s="323"/>
      <c r="AD564" s="324"/>
      <c r="AE564" s="325"/>
      <c r="AF564" s="324"/>
      <c r="AG564" s="323"/>
      <c r="AH564" s="324"/>
      <c r="AI564" s="325"/>
      <c r="AJ564" s="324"/>
      <c r="AK564" s="323"/>
      <c r="AL564" s="324"/>
      <c r="AM564" s="325"/>
      <c r="AN564" s="324"/>
    </row>
    <row r="565" spans="1:40">
      <c r="A565" s="199" t="s">
        <v>216</v>
      </c>
      <c r="B565" s="219" t="s">
        <v>792</v>
      </c>
      <c r="C565" s="220">
        <v>228769</v>
      </c>
      <c r="D565" s="373">
        <v>1</v>
      </c>
      <c r="E565" s="323">
        <v>8142</v>
      </c>
      <c r="F565" s="324">
        <v>8186</v>
      </c>
      <c r="G565" s="325">
        <v>14778</v>
      </c>
      <c r="H565" s="324">
        <v>15684</v>
      </c>
      <c r="I565" s="323">
        <v>11040</v>
      </c>
      <c r="J565" s="324">
        <v>11040</v>
      </c>
      <c r="K565" s="325">
        <v>18376.8</v>
      </c>
      <c r="L565" s="324">
        <v>18960</v>
      </c>
      <c r="M565" s="323"/>
      <c r="N565" s="324"/>
      <c r="O565" s="325"/>
      <c r="P565" s="324"/>
      <c r="Q565" s="323"/>
      <c r="R565" s="324"/>
      <c r="S565" s="325"/>
      <c r="T565" s="324"/>
      <c r="U565" s="323"/>
      <c r="V565" s="324"/>
      <c r="W565" s="325"/>
      <c r="X565" s="324"/>
      <c r="Y565" s="323"/>
      <c r="Z565" s="324"/>
      <c r="AA565" s="325"/>
      <c r="AB565" s="324"/>
      <c r="AC565" s="323"/>
      <c r="AD565" s="324"/>
      <c r="AE565" s="325"/>
      <c r="AF565" s="324"/>
      <c r="AG565" s="323"/>
      <c r="AH565" s="324"/>
      <c r="AI565" s="325"/>
      <c r="AJ565" s="324"/>
      <c r="AK565" s="323"/>
      <c r="AL565" s="324"/>
      <c r="AM565" s="325"/>
      <c r="AN565" s="324"/>
    </row>
    <row r="566" spans="1:40">
      <c r="A566" s="199" t="s">
        <v>216</v>
      </c>
      <c r="B566" s="219" t="s">
        <v>789</v>
      </c>
      <c r="C566" s="220">
        <v>228778</v>
      </c>
      <c r="D566" s="203">
        <v>1</v>
      </c>
      <c r="E566" s="323">
        <v>8508</v>
      </c>
      <c r="F566" s="324">
        <v>8936</v>
      </c>
      <c r="G566" s="325">
        <v>19136</v>
      </c>
      <c r="H566" s="324">
        <v>20416</v>
      </c>
      <c r="I566" s="323">
        <v>8551.1999999999989</v>
      </c>
      <c r="J566" s="324">
        <v>9278.4</v>
      </c>
      <c r="K566" s="325">
        <v>16288.8</v>
      </c>
      <c r="L566" s="324">
        <v>17152.8</v>
      </c>
      <c r="M566" s="323">
        <v>23998</v>
      </c>
      <c r="N566" s="324">
        <v>24128</v>
      </c>
      <c r="O566" s="325">
        <v>39642</v>
      </c>
      <c r="P566" s="324">
        <v>38010</v>
      </c>
      <c r="Q566" s="323"/>
      <c r="R566" s="324"/>
      <c r="S566" s="325"/>
      <c r="T566" s="324"/>
      <c r="U566" s="323"/>
      <c r="V566" s="324"/>
      <c r="W566" s="325"/>
      <c r="X566" s="324"/>
      <c r="Y566" s="323">
        <v>8688</v>
      </c>
      <c r="Z566" s="324">
        <v>9612</v>
      </c>
      <c r="AA566" s="325">
        <v>17300</v>
      </c>
      <c r="AB566" s="324">
        <v>18580</v>
      </c>
      <c r="AC566" s="323"/>
      <c r="AD566" s="324"/>
      <c r="AE566" s="325"/>
      <c r="AF566" s="324"/>
      <c r="AG566" s="323"/>
      <c r="AH566" s="324"/>
      <c r="AI566" s="325"/>
      <c r="AJ566" s="324"/>
      <c r="AK566" s="323"/>
      <c r="AL566" s="324"/>
      <c r="AM566" s="325"/>
      <c r="AN566" s="324"/>
    </row>
    <row r="567" spans="1:40">
      <c r="A567" s="199" t="s">
        <v>216</v>
      </c>
      <c r="B567" s="219" t="s">
        <v>790</v>
      </c>
      <c r="C567" s="220">
        <v>228787</v>
      </c>
      <c r="D567" s="203">
        <v>1</v>
      </c>
      <c r="E567" s="323">
        <v>9294</v>
      </c>
      <c r="F567" s="324">
        <v>9830</v>
      </c>
      <c r="G567" s="325">
        <v>21000</v>
      </c>
      <c r="H567" s="324">
        <v>23730</v>
      </c>
      <c r="I567" s="323">
        <v>10620</v>
      </c>
      <c r="J567" s="324">
        <v>12000</v>
      </c>
      <c r="K567" s="325">
        <v>19591.2</v>
      </c>
      <c r="L567" s="324">
        <v>22137.599999999999</v>
      </c>
      <c r="M567" s="323"/>
      <c r="N567" s="324"/>
      <c r="O567" s="325"/>
      <c r="P567" s="324"/>
      <c r="Q567" s="323"/>
      <c r="R567" s="324"/>
      <c r="S567" s="325"/>
      <c r="T567" s="324"/>
      <c r="U567" s="323"/>
      <c r="V567" s="324"/>
      <c r="W567" s="325"/>
      <c r="X567" s="324"/>
      <c r="Y567" s="323"/>
      <c r="Z567" s="324"/>
      <c r="AA567" s="325"/>
      <c r="AB567" s="324"/>
      <c r="AC567" s="323"/>
      <c r="AD567" s="324"/>
      <c r="AE567" s="325"/>
      <c r="AF567" s="324"/>
      <c r="AG567" s="323"/>
      <c r="AH567" s="324"/>
      <c r="AI567" s="325"/>
      <c r="AJ567" s="324"/>
      <c r="AK567" s="323"/>
      <c r="AL567" s="324"/>
      <c r="AM567" s="325"/>
      <c r="AN567" s="324"/>
    </row>
    <row r="568" spans="1:40">
      <c r="A568" s="199" t="s">
        <v>216</v>
      </c>
      <c r="B568" s="204" t="s">
        <v>791</v>
      </c>
      <c r="C568" s="199">
        <v>229179</v>
      </c>
      <c r="D568" s="201">
        <v>2</v>
      </c>
      <c r="E568" s="323">
        <v>6308</v>
      </c>
      <c r="F568" s="324">
        <v>6308</v>
      </c>
      <c r="G568" s="325">
        <v>10140</v>
      </c>
      <c r="H568" s="324">
        <v>14970</v>
      </c>
      <c r="I568" s="323">
        <v>7833.5999999999995</v>
      </c>
      <c r="J568" s="324">
        <v>8006.4</v>
      </c>
      <c r="K568" s="325">
        <v>14702.4</v>
      </c>
      <c r="L568" s="324">
        <v>15984</v>
      </c>
      <c r="M568" s="323"/>
      <c r="N568" s="324"/>
      <c r="O568" s="325"/>
      <c r="P568" s="324"/>
      <c r="Q568" s="323"/>
      <c r="R568" s="324"/>
      <c r="S568" s="325"/>
      <c r="T568" s="324"/>
      <c r="U568" s="323"/>
      <c r="V568" s="324"/>
      <c r="W568" s="325"/>
      <c r="X568" s="324"/>
      <c r="Y568" s="323"/>
      <c r="Z568" s="324"/>
      <c r="AA568" s="325"/>
      <c r="AB568" s="324"/>
      <c r="AC568" s="323"/>
      <c r="AD568" s="324"/>
      <c r="AE568" s="325"/>
      <c r="AF568" s="324"/>
      <c r="AG568" s="323"/>
      <c r="AH568" s="324"/>
      <c r="AI568" s="325"/>
      <c r="AJ568" s="324"/>
      <c r="AK568" s="323"/>
      <c r="AL568" s="324"/>
      <c r="AM568" s="325"/>
      <c r="AN568" s="324"/>
    </row>
    <row r="569" spans="1:40">
      <c r="A569" s="199" t="s">
        <v>216</v>
      </c>
      <c r="B569" s="219" t="s">
        <v>807</v>
      </c>
      <c r="C569" s="220">
        <v>228796</v>
      </c>
      <c r="D569" s="373">
        <v>2</v>
      </c>
      <c r="E569" s="323">
        <v>5988</v>
      </c>
      <c r="F569" s="324">
        <v>6288</v>
      </c>
      <c r="G569" s="325">
        <v>14356</v>
      </c>
      <c r="H569" s="324">
        <v>14534</v>
      </c>
      <c r="I569" s="323">
        <v>6283.2</v>
      </c>
      <c r="J569" s="324">
        <v>6523.2</v>
      </c>
      <c r="K569" s="325">
        <v>13027.199999999999</v>
      </c>
      <c r="L569" s="324">
        <v>13171.199999999999</v>
      </c>
      <c r="M569" s="323"/>
      <c r="N569" s="324"/>
      <c r="O569" s="325"/>
      <c r="P569" s="324"/>
      <c r="Q569" s="323"/>
      <c r="R569" s="324"/>
      <c r="S569" s="325"/>
      <c r="T569" s="324"/>
      <c r="U569" s="323"/>
      <c r="V569" s="324"/>
      <c r="W569" s="325"/>
      <c r="X569" s="324"/>
      <c r="Y569" s="323"/>
      <c r="Z569" s="324"/>
      <c r="AA569" s="325"/>
      <c r="AB569" s="324"/>
      <c r="AC569" s="323"/>
      <c r="AD569" s="324"/>
      <c r="AE569" s="325"/>
      <c r="AF569" s="324"/>
      <c r="AG569" s="323"/>
      <c r="AH569" s="324"/>
      <c r="AI569" s="325"/>
      <c r="AJ569" s="324"/>
      <c r="AK569" s="323"/>
      <c r="AL569" s="324"/>
      <c r="AM569" s="325"/>
      <c r="AN569" s="324"/>
    </row>
    <row r="570" spans="1:40">
      <c r="A570" s="199" t="s">
        <v>216</v>
      </c>
      <c r="B570" s="374" t="s">
        <v>808</v>
      </c>
      <c r="C570" s="375">
        <v>229027</v>
      </c>
      <c r="D570" s="336">
        <v>2</v>
      </c>
      <c r="E570" s="323">
        <v>7658</v>
      </c>
      <c r="F570" s="324">
        <v>8046</v>
      </c>
      <c r="G570" s="325">
        <v>16096</v>
      </c>
      <c r="H570" s="324">
        <v>16402</v>
      </c>
      <c r="I570" s="323">
        <v>7027.2</v>
      </c>
      <c r="J570" s="324">
        <v>8169.5999999999995</v>
      </c>
      <c r="K570" s="325">
        <v>19166.399999999998</v>
      </c>
      <c r="L570" s="324">
        <v>21464.399999999998</v>
      </c>
      <c r="M570" s="323"/>
      <c r="N570" s="324"/>
      <c r="O570" s="325"/>
      <c r="P570" s="324"/>
      <c r="Q570" s="323"/>
      <c r="R570" s="324"/>
      <c r="S570" s="325"/>
      <c r="T570" s="324"/>
      <c r="U570" s="323"/>
      <c r="V570" s="324"/>
      <c r="W570" s="325"/>
      <c r="X570" s="324"/>
      <c r="Y570" s="323"/>
      <c r="Z570" s="324"/>
      <c r="AA570" s="325"/>
      <c r="AB570" s="324"/>
      <c r="AC570" s="323"/>
      <c r="AD570" s="324"/>
      <c r="AE570" s="325"/>
      <c r="AF570" s="324"/>
      <c r="AG570" s="323"/>
      <c r="AH570" s="324"/>
      <c r="AI570" s="325"/>
      <c r="AJ570" s="324"/>
      <c r="AK570" s="323"/>
      <c r="AL570" s="324"/>
      <c r="AM570" s="325"/>
      <c r="AN570" s="324"/>
    </row>
    <row r="571" spans="1:40">
      <c r="A571" s="199" t="s">
        <v>216</v>
      </c>
      <c r="B571" s="204" t="s">
        <v>793</v>
      </c>
      <c r="C571" s="199">
        <v>222831</v>
      </c>
      <c r="D571" s="201">
        <v>3</v>
      </c>
      <c r="E571" s="323">
        <v>5410</v>
      </c>
      <c r="F571" s="324">
        <v>6138</v>
      </c>
      <c r="G571" s="325">
        <v>13541</v>
      </c>
      <c r="H571" s="324">
        <v>13840</v>
      </c>
      <c r="I571" s="323">
        <v>4999.2</v>
      </c>
      <c r="J571" s="324">
        <v>5505.5999999999995</v>
      </c>
      <c r="K571" s="325">
        <v>11743.199999999999</v>
      </c>
      <c r="L571" s="324">
        <v>12249.6</v>
      </c>
      <c r="M571" s="323"/>
      <c r="N571" s="324"/>
      <c r="O571" s="325"/>
      <c r="P571" s="324"/>
      <c r="Q571" s="323"/>
      <c r="R571" s="324"/>
      <c r="S571" s="325"/>
      <c r="T571" s="324"/>
      <c r="U571" s="323"/>
      <c r="V571" s="324"/>
      <c r="W571" s="325"/>
      <c r="X571" s="324"/>
      <c r="Y571" s="323"/>
      <c r="Z571" s="324"/>
      <c r="AA571" s="325"/>
      <c r="AB571" s="324"/>
      <c r="AC571" s="323"/>
      <c r="AD571" s="324"/>
      <c r="AE571" s="325"/>
      <c r="AF571" s="324"/>
      <c r="AG571" s="323"/>
      <c r="AH571" s="324"/>
      <c r="AI571" s="325"/>
      <c r="AJ571" s="324"/>
      <c r="AK571" s="323"/>
      <c r="AL571" s="324"/>
      <c r="AM571" s="325"/>
      <c r="AN571" s="324"/>
    </row>
    <row r="572" spans="1:40">
      <c r="A572" s="199" t="s">
        <v>216</v>
      </c>
      <c r="B572" s="204" t="s">
        <v>794</v>
      </c>
      <c r="C572" s="199">
        <v>226091</v>
      </c>
      <c r="D572" s="201">
        <v>3</v>
      </c>
      <c r="E572" s="323">
        <v>6034</v>
      </c>
      <c r="F572" s="324">
        <v>6626</v>
      </c>
      <c r="G572" s="325">
        <v>14444</v>
      </c>
      <c r="H572" s="324">
        <v>14916</v>
      </c>
      <c r="I572" s="323">
        <v>6676.8</v>
      </c>
      <c r="J572" s="324">
        <v>6892.8</v>
      </c>
      <c r="K572" s="325">
        <v>13420.8</v>
      </c>
      <c r="L572" s="324">
        <v>13540.8</v>
      </c>
      <c r="M572" s="323"/>
      <c r="N572" s="324"/>
      <c r="O572" s="325"/>
      <c r="P572" s="324"/>
      <c r="Q572" s="323"/>
      <c r="R572" s="324"/>
      <c r="S572" s="325"/>
      <c r="T572" s="324"/>
      <c r="U572" s="323"/>
      <c r="V572" s="324"/>
      <c r="W572" s="325"/>
      <c r="X572" s="324"/>
      <c r="Y572" s="323"/>
      <c r="Z572" s="324"/>
      <c r="AA572" s="325"/>
      <c r="AB572" s="324"/>
      <c r="AC572" s="323"/>
      <c r="AD572" s="324"/>
      <c r="AE572" s="325"/>
      <c r="AF572" s="324"/>
      <c r="AG572" s="323"/>
      <c r="AH572" s="324"/>
      <c r="AI572" s="325"/>
      <c r="AJ572" s="324"/>
      <c r="AK572" s="323"/>
      <c r="AL572" s="324"/>
      <c r="AM572" s="325"/>
      <c r="AN572" s="324"/>
    </row>
    <row r="573" spans="1:40">
      <c r="A573" s="199" t="s">
        <v>216</v>
      </c>
      <c r="B573" s="219" t="s">
        <v>795</v>
      </c>
      <c r="C573" s="220">
        <v>226833</v>
      </c>
      <c r="D573" s="203">
        <v>3</v>
      </c>
      <c r="E573" s="323">
        <v>5992</v>
      </c>
      <c r="F573" s="324">
        <v>6450</v>
      </c>
      <c r="G573" s="325">
        <v>14667</v>
      </c>
      <c r="H573" s="324">
        <v>14854</v>
      </c>
      <c r="I573" s="323">
        <v>5852.4</v>
      </c>
      <c r="J573" s="324">
        <v>6098.4</v>
      </c>
      <c r="K573" s="325">
        <v>12596.4</v>
      </c>
      <c r="L573" s="324">
        <v>12746.4</v>
      </c>
      <c r="M573" s="323"/>
      <c r="N573" s="324"/>
      <c r="O573" s="325"/>
      <c r="P573" s="324"/>
      <c r="Q573" s="323"/>
      <c r="R573" s="324"/>
      <c r="S573" s="325"/>
      <c r="T573" s="324"/>
      <c r="U573" s="323"/>
      <c r="V573" s="324"/>
      <c r="W573" s="325"/>
      <c r="X573" s="324"/>
      <c r="Y573" s="323"/>
      <c r="Z573" s="324"/>
      <c r="AA573" s="325"/>
      <c r="AB573" s="324"/>
      <c r="AC573" s="323"/>
      <c r="AD573" s="324"/>
      <c r="AE573" s="325"/>
      <c r="AF573" s="324"/>
      <c r="AG573" s="323"/>
      <c r="AH573" s="324"/>
      <c r="AI573" s="325"/>
      <c r="AJ573" s="324"/>
      <c r="AK573" s="323"/>
      <c r="AL573" s="324"/>
      <c r="AM573" s="325"/>
      <c r="AN573" s="324"/>
    </row>
    <row r="574" spans="1:40">
      <c r="A574" s="199" t="s">
        <v>216</v>
      </c>
      <c r="B574" s="204" t="s">
        <v>796</v>
      </c>
      <c r="C574" s="199">
        <v>227526</v>
      </c>
      <c r="D574" s="201">
        <v>3</v>
      </c>
      <c r="E574" s="323">
        <v>6824</v>
      </c>
      <c r="F574" s="324">
        <v>7220</v>
      </c>
      <c r="G574" s="325">
        <v>14458</v>
      </c>
      <c r="H574" s="324">
        <v>14974</v>
      </c>
      <c r="I574" s="323">
        <v>5296.8</v>
      </c>
      <c r="J574" s="324">
        <v>5673.5999999999995</v>
      </c>
      <c r="K574" s="325">
        <v>11344.8</v>
      </c>
      <c r="L574" s="324">
        <v>11700</v>
      </c>
      <c r="M574" s="323"/>
      <c r="N574" s="324"/>
      <c r="O574" s="325"/>
      <c r="P574" s="324"/>
      <c r="Q574" s="323"/>
      <c r="R574" s="324"/>
      <c r="S574" s="325"/>
      <c r="T574" s="324"/>
      <c r="U574" s="323"/>
      <c r="V574" s="324"/>
      <c r="W574" s="325"/>
      <c r="X574" s="324"/>
      <c r="Y574" s="323"/>
      <c r="Z574" s="324"/>
      <c r="AA574" s="325"/>
      <c r="AB574" s="324"/>
      <c r="AC574" s="323"/>
      <c r="AD574" s="324"/>
      <c r="AE574" s="325"/>
      <c r="AF574" s="324"/>
      <c r="AG574" s="323"/>
      <c r="AH574" s="324"/>
      <c r="AI574" s="325"/>
      <c r="AJ574" s="324"/>
      <c r="AK574" s="323"/>
      <c r="AL574" s="324"/>
      <c r="AM574" s="325"/>
      <c r="AN574" s="324"/>
    </row>
    <row r="575" spans="1:40">
      <c r="A575" s="199" t="s">
        <v>216</v>
      </c>
      <c r="B575" s="204" t="s">
        <v>797</v>
      </c>
      <c r="C575" s="199">
        <v>227881</v>
      </c>
      <c r="D575" s="201">
        <v>3</v>
      </c>
      <c r="E575" s="323">
        <v>6106</v>
      </c>
      <c r="F575" s="324">
        <v>6474</v>
      </c>
      <c r="G575" s="325">
        <v>14250</v>
      </c>
      <c r="H575" s="324">
        <v>14825</v>
      </c>
      <c r="I575" s="323">
        <v>6336</v>
      </c>
      <c r="J575" s="324">
        <v>6776.4</v>
      </c>
      <c r="K575" s="325">
        <v>13008</v>
      </c>
      <c r="L575" s="324">
        <v>13424.4</v>
      </c>
      <c r="M575" s="323"/>
      <c r="N575" s="324"/>
      <c r="O575" s="325"/>
      <c r="P575" s="324"/>
      <c r="Q575" s="323"/>
      <c r="R575" s="324"/>
      <c r="S575" s="325"/>
      <c r="T575" s="324"/>
      <c r="U575" s="323"/>
      <c r="V575" s="324"/>
      <c r="W575" s="325"/>
      <c r="X575" s="324"/>
      <c r="Y575" s="323"/>
      <c r="Z575" s="324"/>
      <c r="AA575" s="325"/>
      <c r="AB575" s="324"/>
      <c r="AC575" s="323"/>
      <c r="AD575" s="324"/>
      <c r="AE575" s="325"/>
      <c r="AF575" s="324"/>
      <c r="AG575" s="323"/>
      <c r="AH575" s="324"/>
      <c r="AI575" s="325"/>
      <c r="AJ575" s="324"/>
      <c r="AK575" s="323"/>
      <c r="AL575" s="324"/>
      <c r="AM575" s="325"/>
      <c r="AN575" s="324"/>
    </row>
    <row r="576" spans="1:40">
      <c r="A576" s="199" t="s">
        <v>216</v>
      </c>
      <c r="B576" s="204" t="s">
        <v>798</v>
      </c>
      <c r="C576" s="199">
        <v>228431</v>
      </c>
      <c r="D576" s="201">
        <v>3</v>
      </c>
      <c r="E576" s="323">
        <v>6540</v>
      </c>
      <c r="F576" s="324">
        <v>6810</v>
      </c>
      <c r="G576" s="325">
        <v>14862</v>
      </c>
      <c r="H576" s="324">
        <v>14838</v>
      </c>
      <c r="I576" s="323">
        <v>6086.4</v>
      </c>
      <c r="J576" s="324">
        <v>6163.2</v>
      </c>
      <c r="K576" s="325">
        <v>12830.4</v>
      </c>
      <c r="L576" s="324">
        <v>12811.199999999999</v>
      </c>
      <c r="M576" s="323"/>
      <c r="N576" s="324"/>
      <c r="O576" s="325"/>
      <c r="P576" s="324"/>
      <c r="Q576" s="323"/>
      <c r="R576" s="324"/>
      <c r="S576" s="325"/>
      <c r="T576" s="324"/>
      <c r="U576" s="323"/>
      <c r="V576" s="324"/>
      <c r="W576" s="325"/>
      <c r="X576" s="324"/>
      <c r="Y576" s="323"/>
      <c r="Z576" s="324"/>
      <c r="AA576" s="325"/>
      <c r="AB576" s="324"/>
      <c r="AC576" s="323"/>
      <c r="AD576" s="324"/>
      <c r="AE576" s="325"/>
      <c r="AF576" s="324"/>
      <c r="AG576" s="323"/>
      <c r="AH576" s="324"/>
      <c r="AI576" s="325"/>
      <c r="AJ576" s="324"/>
      <c r="AK576" s="323"/>
      <c r="AL576" s="324"/>
      <c r="AM576" s="325"/>
      <c r="AN576" s="324"/>
    </row>
    <row r="577" spans="1:40">
      <c r="A577" s="199" t="s">
        <v>216</v>
      </c>
      <c r="B577" s="219" t="s">
        <v>799</v>
      </c>
      <c r="C577" s="220">
        <v>228501</v>
      </c>
      <c r="D577" s="203">
        <v>3</v>
      </c>
      <c r="E577" s="323">
        <v>5090</v>
      </c>
      <c r="F577" s="324">
        <v>5334</v>
      </c>
      <c r="G577" s="325">
        <v>13398</v>
      </c>
      <c r="H577" s="324">
        <v>13732</v>
      </c>
      <c r="I577" s="323">
        <v>4310.3999999999996</v>
      </c>
      <c r="J577" s="324">
        <v>4507.2</v>
      </c>
      <c r="K577" s="325">
        <v>10982.4</v>
      </c>
      <c r="L577" s="324">
        <v>11251.199999999999</v>
      </c>
      <c r="M577" s="323"/>
      <c r="N577" s="324"/>
      <c r="O577" s="325"/>
      <c r="P577" s="324"/>
      <c r="Q577" s="323"/>
      <c r="R577" s="324"/>
      <c r="S577" s="325"/>
      <c r="T577" s="324"/>
      <c r="U577" s="323"/>
      <c r="V577" s="324"/>
      <c r="W577" s="325"/>
      <c r="X577" s="324"/>
      <c r="Y577" s="323"/>
      <c r="Z577" s="324"/>
      <c r="AA577" s="325"/>
      <c r="AB577" s="324"/>
      <c r="AC577" s="323"/>
      <c r="AD577" s="324"/>
      <c r="AE577" s="325"/>
      <c r="AF577" s="324"/>
      <c r="AG577" s="323"/>
      <c r="AH577" s="324"/>
      <c r="AI577" s="325"/>
      <c r="AJ577" s="324"/>
      <c r="AK577" s="323"/>
      <c r="AL577" s="324"/>
      <c r="AM577" s="325"/>
      <c r="AN577" s="324"/>
    </row>
    <row r="578" spans="1:40">
      <c r="A578" s="199" t="s">
        <v>216</v>
      </c>
      <c r="B578" s="204" t="s">
        <v>800</v>
      </c>
      <c r="C578" s="199">
        <v>228529</v>
      </c>
      <c r="D578" s="201">
        <v>3</v>
      </c>
      <c r="E578" s="323">
        <v>5658</v>
      </c>
      <c r="F578" s="324">
        <v>5670</v>
      </c>
      <c r="G578" s="325">
        <v>14020</v>
      </c>
      <c r="H578" s="324">
        <v>14372</v>
      </c>
      <c r="I578" s="323">
        <v>5157.5999999999995</v>
      </c>
      <c r="J578" s="324">
        <v>5512.8</v>
      </c>
      <c r="K578" s="325">
        <v>11421.6</v>
      </c>
      <c r="L578" s="324">
        <v>11776.8</v>
      </c>
      <c r="M578" s="323"/>
      <c r="N578" s="324"/>
      <c r="O578" s="325"/>
      <c r="P578" s="324"/>
      <c r="Q578" s="323"/>
      <c r="R578" s="324"/>
      <c r="S578" s="325"/>
      <c r="T578" s="324"/>
      <c r="U578" s="323"/>
      <c r="V578" s="324"/>
      <c r="W578" s="325"/>
      <c r="X578" s="324"/>
      <c r="Y578" s="323"/>
      <c r="Z578" s="324"/>
      <c r="AA578" s="325"/>
      <c r="AB578" s="324"/>
      <c r="AC578" s="323"/>
      <c r="AD578" s="324"/>
      <c r="AE578" s="325"/>
      <c r="AF578" s="324"/>
      <c r="AG578" s="323"/>
      <c r="AH578" s="324"/>
      <c r="AI578" s="325"/>
      <c r="AJ578" s="324"/>
      <c r="AK578" s="323"/>
      <c r="AL578" s="324"/>
      <c r="AM578" s="325"/>
      <c r="AN578" s="324"/>
    </row>
    <row r="579" spans="1:40">
      <c r="A579" s="199" t="s">
        <v>216</v>
      </c>
      <c r="B579" s="204" t="s">
        <v>801</v>
      </c>
      <c r="C579" s="199">
        <v>224554</v>
      </c>
      <c r="D579" s="201">
        <v>3</v>
      </c>
      <c r="E579" s="323">
        <v>5186</v>
      </c>
      <c r="F579" s="324">
        <v>5556</v>
      </c>
      <c r="G579" s="325">
        <v>13380</v>
      </c>
      <c r="H579" s="324">
        <v>13840</v>
      </c>
      <c r="I579" s="323">
        <v>5112</v>
      </c>
      <c r="J579" s="324">
        <v>5760</v>
      </c>
      <c r="K579" s="325">
        <v>11712</v>
      </c>
      <c r="L579" s="324">
        <v>13288.8</v>
      </c>
      <c r="M579" s="323"/>
      <c r="N579" s="324"/>
      <c r="O579" s="325"/>
      <c r="P579" s="324"/>
      <c r="Q579" s="323"/>
      <c r="R579" s="324"/>
      <c r="S579" s="325"/>
      <c r="T579" s="324"/>
      <c r="U579" s="323"/>
      <c r="V579" s="324"/>
      <c r="W579" s="325"/>
      <c r="X579" s="324"/>
      <c r="Y579" s="323"/>
      <c r="Z579" s="324"/>
      <c r="AA579" s="325"/>
      <c r="AB579" s="324"/>
      <c r="AC579" s="323"/>
      <c r="AD579" s="324"/>
      <c r="AE579" s="325"/>
      <c r="AF579" s="324"/>
      <c r="AG579" s="323"/>
      <c r="AH579" s="324"/>
      <c r="AI579" s="325"/>
      <c r="AJ579" s="324"/>
      <c r="AK579" s="323"/>
      <c r="AL579" s="324"/>
      <c r="AM579" s="325"/>
      <c r="AN579" s="324"/>
    </row>
    <row r="580" spans="1:40">
      <c r="A580" s="199" t="s">
        <v>216</v>
      </c>
      <c r="B580" s="204" t="s">
        <v>802</v>
      </c>
      <c r="C580" s="199">
        <v>224147</v>
      </c>
      <c r="D580" s="201">
        <v>3</v>
      </c>
      <c r="E580" s="323">
        <v>5850</v>
      </c>
      <c r="F580" s="324">
        <v>6134</v>
      </c>
      <c r="G580" s="325">
        <v>14167</v>
      </c>
      <c r="H580" s="324">
        <v>14408</v>
      </c>
      <c r="I580" s="323">
        <v>5253.5999999999995</v>
      </c>
      <c r="J580" s="324">
        <v>5767.2</v>
      </c>
      <c r="K580" s="325">
        <v>11997.6</v>
      </c>
      <c r="L580" s="324">
        <v>12415.199999999999</v>
      </c>
      <c r="M580" s="323"/>
      <c r="N580" s="324"/>
      <c r="O580" s="325"/>
      <c r="P580" s="324"/>
      <c r="Q580" s="323"/>
      <c r="R580" s="324"/>
      <c r="S580" s="325"/>
      <c r="T580" s="324"/>
      <c r="U580" s="323"/>
      <c r="V580" s="324"/>
      <c r="W580" s="325"/>
      <c r="X580" s="324"/>
      <c r="Y580" s="323"/>
      <c r="Z580" s="324"/>
      <c r="AA580" s="325"/>
      <c r="AB580" s="324"/>
      <c r="AC580" s="323"/>
      <c r="AD580" s="324"/>
      <c r="AE580" s="325"/>
      <c r="AF580" s="324"/>
      <c r="AG580" s="323"/>
      <c r="AH580" s="324"/>
      <c r="AI580" s="325"/>
      <c r="AJ580" s="324"/>
      <c r="AK580" s="323"/>
      <c r="AL580" s="324"/>
      <c r="AM580" s="325"/>
      <c r="AN580" s="324"/>
    </row>
    <row r="581" spans="1:40">
      <c r="A581" s="199" t="s">
        <v>216</v>
      </c>
      <c r="B581" s="204" t="s">
        <v>803</v>
      </c>
      <c r="C581" s="199">
        <v>228705</v>
      </c>
      <c r="D581" s="201">
        <v>3</v>
      </c>
      <c r="E581" s="323">
        <v>5490</v>
      </c>
      <c r="F581" s="324">
        <v>5940</v>
      </c>
      <c r="G581" s="325">
        <v>13854</v>
      </c>
      <c r="H581" s="324">
        <v>14544</v>
      </c>
      <c r="I581" s="323">
        <v>5056.8</v>
      </c>
      <c r="J581" s="324">
        <v>5308.8</v>
      </c>
      <c r="K581" s="325">
        <v>11800.8</v>
      </c>
      <c r="L581" s="324">
        <v>12388.8</v>
      </c>
      <c r="M581" s="323"/>
      <c r="N581" s="324"/>
      <c r="O581" s="325"/>
      <c r="P581" s="324"/>
      <c r="Q581" s="323"/>
      <c r="R581" s="324"/>
      <c r="S581" s="325"/>
      <c r="T581" s="324"/>
      <c r="U581" s="323"/>
      <c r="V581" s="324"/>
      <c r="W581" s="325"/>
      <c r="X581" s="324"/>
      <c r="Y581" s="323"/>
      <c r="Z581" s="324"/>
      <c r="AA581" s="325"/>
      <c r="AB581" s="324"/>
      <c r="AC581" s="323"/>
      <c r="AD581" s="324"/>
      <c r="AE581" s="325"/>
      <c r="AF581" s="324"/>
      <c r="AG581" s="323"/>
      <c r="AH581" s="324"/>
      <c r="AI581" s="325"/>
      <c r="AJ581" s="324"/>
      <c r="AK581" s="323"/>
      <c r="AL581" s="324"/>
      <c r="AM581" s="325"/>
      <c r="AN581" s="324"/>
    </row>
    <row r="582" spans="1:40">
      <c r="A582" s="199" t="s">
        <v>216</v>
      </c>
      <c r="B582" s="374" t="s">
        <v>813</v>
      </c>
      <c r="C582" s="375">
        <v>226152</v>
      </c>
      <c r="D582" s="336">
        <v>3</v>
      </c>
      <c r="E582" s="323">
        <v>5396</v>
      </c>
      <c r="F582" s="324">
        <v>5698</v>
      </c>
      <c r="G582" s="325">
        <v>13757</v>
      </c>
      <c r="H582" s="324">
        <v>14176</v>
      </c>
      <c r="I582" s="323">
        <v>5049.5999999999995</v>
      </c>
      <c r="J582" s="324">
        <v>5313.5999999999995</v>
      </c>
      <c r="K582" s="325">
        <v>11721.6</v>
      </c>
      <c r="L582" s="324">
        <v>12033.6</v>
      </c>
      <c r="M582" s="323"/>
      <c r="N582" s="324"/>
      <c r="O582" s="325"/>
      <c r="P582" s="324"/>
      <c r="Q582" s="323"/>
      <c r="R582" s="324"/>
      <c r="S582" s="325"/>
      <c r="T582" s="324"/>
      <c r="U582" s="323"/>
      <c r="V582" s="324"/>
      <c r="W582" s="325"/>
      <c r="X582" s="324"/>
      <c r="Y582" s="323"/>
      <c r="Z582" s="324"/>
      <c r="AA582" s="325"/>
      <c r="AB582" s="324"/>
      <c r="AC582" s="323"/>
      <c r="AD582" s="324"/>
      <c r="AE582" s="325"/>
      <c r="AF582" s="324"/>
      <c r="AG582" s="323"/>
      <c r="AH582" s="324"/>
      <c r="AI582" s="325"/>
      <c r="AJ582" s="324"/>
      <c r="AK582" s="323"/>
      <c r="AL582" s="324"/>
      <c r="AM582" s="325"/>
      <c r="AN582" s="324"/>
    </row>
    <row r="583" spans="1:40">
      <c r="A583" s="199" t="s">
        <v>216</v>
      </c>
      <c r="B583" s="219" t="s">
        <v>804</v>
      </c>
      <c r="C583" s="199">
        <v>229063</v>
      </c>
      <c r="D583" s="201">
        <v>3</v>
      </c>
      <c r="E583" s="323">
        <v>6402</v>
      </c>
      <c r="F583" s="324">
        <v>6402</v>
      </c>
      <c r="G583" s="325">
        <v>14128</v>
      </c>
      <c r="H583" s="324">
        <v>14711</v>
      </c>
      <c r="I583" s="323">
        <v>6175.2</v>
      </c>
      <c r="J583" s="324">
        <v>6362.4</v>
      </c>
      <c r="K583" s="325">
        <v>12103.199999999999</v>
      </c>
      <c r="L583" s="324">
        <v>11612.4</v>
      </c>
      <c r="M583" s="323">
        <v>12556</v>
      </c>
      <c r="N583" s="324">
        <v>12856</v>
      </c>
      <c r="O583" s="325">
        <v>16306</v>
      </c>
      <c r="P583" s="324">
        <v>16306</v>
      </c>
      <c r="Q583" s="323"/>
      <c r="R583" s="324"/>
      <c r="S583" s="325"/>
      <c r="T583" s="324"/>
      <c r="U583" s="323"/>
      <c r="V583" s="324"/>
      <c r="W583" s="325"/>
      <c r="X583" s="324"/>
      <c r="Y583" s="376">
        <f>+(8121+850)*1.2</f>
        <v>10765.199999999999</v>
      </c>
      <c r="Z583" s="377">
        <v>11533</v>
      </c>
      <c r="AA583" s="325">
        <v>16954</v>
      </c>
      <c r="AB583" s="324">
        <v>18301</v>
      </c>
      <c r="AC583" s="323"/>
      <c r="AD583" s="324"/>
      <c r="AE583" s="325"/>
      <c r="AF583" s="324"/>
      <c r="AG583" s="323"/>
      <c r="AH583" s="324"/>
      <c r="AI583" s="325"/>
      <c r="AJ583" s="324"/>
      <c r="AK583" s="323"/>
      <c r="AL583" s="324"/>
      <c r="AM583" s="325"/>
      <c r="AN583" s="324"/>
    </row>
    <row r="584" spans="1:40">
      <c r="A584" s="199" t="s">
        <v>216</v>
      </c>
      <c r="B584" s="204" t="s">
        <v>805</v>
      </c>
      <c r="C584" s="199">
        <v>228459</v>
      </c>
      <c r="D584" s="201">
        <v>3</v>
      </c>
      <c r="E584" s="323">
        <v>6994</v>
      </c>
      <c r="F584" s="324">
        <v>7482</v>
      </c>
      <c r="G584" s="325">
        <v>15420</v>
      </c>
      <c r="H584" s="324">
        <v>15790</v>
      </c>
      <c r="I584" s="323">
        <v>7008</v>
      </c>
      <c r="J584" s="324">
        <v>7404</v>
      </c>
      <c r="K584" s="325">
        <v>13752</v>
      </c>
      <c r="L584" s="324">
        <v>14052</v>
      </c>
      <c r="M584" s="323"/>
      <c r="N584" s="324"/>
      <c r="O584" s="325"/>
      <c r="P584" s="324"/>
      <c r="Q584" s="323"/>
      <c r="R584" s="324"/>
      <c r="S584" s="325"/>
      <c r="T584" s="324"/>
      <c r="U584" s="323"/>
      <c r="V584" s="324"/>
      <c r="W584" s="325"/>
      <c r="X584" s="324"/>
      <c r="Y584" s="323"/>
      <c r="Z584" s="324"/>
      <c r="AA584" s="325"/>
      <c r="AB584" s="324"/>
      <c r="AC584" s="323"/>
      <c r="AD584" s="324"/>
      <c r="AE584" s="325"/>
      <c r="AF584" s="324"/>
      <c r="AG584" s="323"/>
      <c r="AH584" s="324"/>
      <c r="AI584" s="325"/>
      <c r="AJ584" s="324"/>
      <c r="AK584" s="323"/>
      <c r="AL584" s="324"/>
      <c r="AM584" s="325"/>
      <c r="AN584" s="324"/>
    </row>
    <row r="585" spans="1:40">
      <c r="A585" s="199" t="s">
        <v>216</v>
      </c>
      <c r="B585" s="204" t="s">
        <v>806</v>
      </c>
      <c r="C585" s="199">
        <v>225414</v>
      </c>
      <c r="D585" s="201">
        <v>3</v>
      </c>
      <c r="E585" s="323">
        <v>5856</v>
      </c>
      <c r="F585" s="324">
        <v>5828</v>
      </c>
      <c r="G585" s="325">
        <v>14442</v>
      </c>
      <c r="H585" s="324">
        <v>15038</v>
      </c>
      <c r="I585" s="323">
        <v>7084.8</v>
      </c>
      <c r="J585" s="324">
        <v>7516.7999999999993</v>
      </c>
      <c r="K585" s="325">
        <v>14332.8</v>
      </c>
      <c r="L585" s="324">
        <v>15100.8</v>
      </c>
      <c r="M585" s="323"/>
      <c r="N585" s="324"/>
      <c r="O585" s="325"/>
      <c r="P585" s="324"/>
      <c r="Q585" s="323"/>
      <c r="R585" s="324"/>
      <c r="S585" s="325"/>
      <c r="T585" s="324"/>
      <c r="U585" s="323"/>
      <c r="V585" s="324"/>
      <c r="W585" s="325"/>
      <c r="X585" s="324"/>
      <c r="Y585" s="323"/>
      <c r="Z585" s="324"/>
      <c r="AA585" s="325"/>
      <c r="AB585" s="324"/>
      <c r="AC585" s="323"/>
      <c r="AD585" s="324"/>
      <c r="AE585" s="325"/>
      <c r="AF585" s="324"/>
      <c r="AG585" s="323"/>
      <c r="AH585" s="324"/>
      <c r="AI585" s="325"/>
      <c r="AJ585" s="324"/>
      <c r="AK585" s="323"/>
      <c r="AL585" s="324"/>
      <c r="AM585" s="325"/>
      <c r="AN585" s="324"/>
    </row>
    <row r="586" spans="1:40">
      <c r="A586" s="199" t="s">
        <v>216</v>
      </c>
      <c r="B586" s="219" t="s">
        <v>809</v>
      </c>
      <c r="C586" s="220">
        <v>228802</v>
      </c>
      <c r="D586" s="203">
        <v>3</v>
      </c>
      <c r="E586" s="323">
        <v>5926</v>
      </c>
      <c r="F586" s="324">
        <v>6426</v>
      </c>
      <c r="G586" s="325">
        <v>14172</v>
      </c>
      <c r="H586" s="324">
        <v>14472</v>
      </c>
      <c r="I586" s="323">
        <v>5702.4</v>
      </c>
      <c r="J586" s="324">
        <v>6614.4</v>
      </c>
      <c r="K586" s="325">
        <v>12446.4</v>
      </c>
      <c r="L586" s="324">
        <v>13358.4</v>
      </c>
      <c r="M586" s="323"/>
      <c r="N586" s="324"/>
      <c r="O586" s="325"/>
      <c r="P586" s="324"/>
      <c r="Q586" s="323"/>
      <c r="R586" s="324"/>
      <c r="S586" s="325"/>
      <c r="T586" s="324"/>
      <c r="U586" s="323"/>
      <c r="V586" s="324"/>
      <c r="W586" s="325"/>
      <c r="X586" s="324"/>
      <c r="Y586" s="323"/>
      <c r="Z586" s="324"/>
      <c r="AA586" s="325"/>
      <c r="AB586" s="324"/>
      <c r="AC586" s="323"/>
      <c r="AD586" s="324"/>
      <c r="AE586" s="325"/>
      <c r="AF586" s="324"/>
      <c r="AG586" s="323"/>
      <c r="AH586" s="324"/>
      <c r="AI586" s="325"/>
      <c r="AJ586" s="324"/>
      <c r="AK586" s="323"/>
      <c r="AL586" s="324"/>
      <c r="AM586" s="325"/>
      <c r="AN586" s="324"/>
    </row>
    <row r="587" spans="1:40">
      <c r="A587" s="199" t="s">
        <v>216</v>
      </c>
      <c r="B587" s="204" t="s">
        <v>810</v>
      </c>
      <c r="C587" s="199">
        <v>227368</v>
      </c>
      <c r="D587" s="201">
        <v>3</v>
      </c>
      <c r="E587" s="323">
        <v>5196</v>
      </c>
      <c r="F587" s="324">
        <v>5528</v>
      </c>
      <c r="G587" s="325">
        <v>13465</v>
      </c>
      <c r="H587" s="324">
        <v>13735</v>
      </c>
      <c r="I587" s="323">
        <v>5514</v>
      </c>
      <c r="J587" s="324">
        <v>5878.8</v>
      </c>
      <c r="K587" s="325">
        <v>12186</v>
      </c>
      <c r="L587" s="324">
        <v>12526.8</v>
      </c>
      <c r="M587" s="323"/>
      <c r="N587" s="324"/>
      <c r="O587" s="325"/>
      <c r="P587" s="324"/>
      <c r="Q587" s="323"/>
      <c r="R587" s="324"/>
      <c r="S587" s="325"/>
      <c r="T587" s="324"/>
      <c r="U587" s="323"/>
      <c r="V587" s="324"/>
      <c r="W587" s="325"/>
      <c r="X587" s="324"/>
      <c r="Y587" s="323"/>
      <c r="Z587" s="324"/>
      <c r="AA587" s="325"/>
      <c r="AB587" s="324"/>
      <c r="AC587" s="323"/>
      <c r="AD587" s="324"/>
      <c r="AE587" s="325"/>
      <c r="AF587" s="324"/>
      <c r="AG587" s="323"/>
      <c r="AH587" s="324"/>
      <c r="AI587" s="325"/>
      <c r="AJ587" s="324"/>
      <c r="AK587" s="323"/>
      <c r="AL587" s="324"/>
      <c r="AM587" s="325"/>
      <c r="AN587" s="324"/>
    </row>
    <row r="588" spans="1:40">
      <c r="A588" s="199" t="s">
        <v>216</v>
      </c>
      <c r="B588" s="204" t="s">
        <v>811</v>
      </c>
      <c r="C588" s="199">
        <v>229814</v>
      </c>
      <c r="D588" s="201">
        <v>3</v>
      </c>
      <c r="E588" s="323">
        <v>5382</v>
      </c>
      <c r="F588" s="324">
        <v>5804</v>
      </c>
      <c r="G588" s="325">
        <v>13680</v>
      </c>
      <c r="H588" s="324">
        <v>14200</v>
      </c>
      <c r="I588" s="376">
        <f>+(3140+1158)*1.2</f>
        <v>5157.5999999999995</v>
      </c>
      <c r="J588" s="378">
        <f>+(3620+1286)*1.2</f>
        <v>5887.2</v>
      </c>
      <c r="K588" s="379">
        <f>+(6960+1158)*1.2</f>
        <v>9741.6</v>
      </c>
      <c r="L588" s="378">
        <f>+(8900+1286)*1.2</f>
        <v>12223.199999999999</v>
      </c>
      <c r="M588" s="323"/>
      <c r="N588" s="324"/>
      <c r="O588" s="325"/>
      <c r="P588" s="324"/>
      <c r="Q588" s="323"/>
      <c r="R588" s="324"/>
      <c r="S588" s="325"/>
      <c r="T588" s="324"/>
      <c r="U588" s="323"/>
      <c r="V588" s="324"/>
      <c r="W588" s="325"/>
      <c r="X588" s="324"/>
      <c r="Y588" s="323"/>
      <c r="Z588" s="324"/>
      <c r="AA588" s="325"/>
      <c r="AB588" s="324"/>
      <c r="AC588" s="323"/>
      <c r="AD588" s="324"/>
      <c r="AE588" s="325"/>
      <c r="AF588" s="324"/>
      <c r="AG588" s="323"/>
      <c r="AH588" s="324"/>
      <c r="AI588" s="325"/>
      <c r="AJ588" s="324"/>
      <c r="AK588" s="323"/>
      <c r="AL588" s="324"/>
      <c r="AM588" s="325"/>
      <c r="AN588" s="324"/>
    </row>
    <row r="589" spans="1:40">
      <c r="A589" s="199" t="s">
        <v>216</v>
      </c>
      <c r="B589" s="204" t="s">
        <v>812</v>
      </c>
      <c r="C589" s="199">
        <v>224545</v>
      </c>
      <c r="D589" s="201">
        <v>4</v>
      </c>
      <c r="E589" s="323">
        <v>4242</v>
      </c>
      <c r="F589" s="324">
        <v>4646</v>
      </c>
      <c r="G589" s="325">
        <v>12666</v>
      </c>
      <c r="H589" s="324">
        <v>12848</v>
      </c>
      <c r="I589" s="323">
        <v>3970.7999999999997</v>
      </c>
      <c r="J589" s="324">
        <v>4117.2</v>
      </c>
      <c r="K589" s="325">
        <v>10714.8</v>
      </c>
      <c r="L589" s="324">
        <v>10765.199999999999</v>
      </c>
      <c r="M589" s="323"/>
      <c r="N589" s="324"/>
      <c r="O589" s="325"/>
      <c r="P589" s="324"/>
      <c r="Q589" s="323"/>
      <c r="R589" s="324"/>
      <c r="S589" s="325"/>
      <c r="T589" s="324"/>
      <c r="U589" s="323"/>
      <c r="V589" s="324"/>
      <c r="W589" s="325"/>
      <c r="X589" s="324"/>
      <c r="Y589" s="323"/>
      <c r="Z589" s="324"/>
      <c r="AA589" s="325"/>
      <c r="AB589" s="324"/>
      <c r="AC589" s="323"/>
      <c r="AD589" s="324"/>
      <c r="AE589" s="325"/>
      <c r="AF589" s="324"/>
      <c r="AG589" s="323"/>
      <c r="AH589" s="324"/>
      <c r="AI589" s="325"/>
      <c r="AJ589" s="324"/>
      <c r="AK589" s="323"/>
      <c r="AL589" s="324"/>
      <c r="AM589" s="325"/>
      <c r="AN589" s="324"/>
    </row>
    <row r="590" spans="1:40">
      <c r="A590" s="199" t="s">
        <v>216</v>
      </c>
      <c r="B590" s="374" t="s">
        <v>819</v>
      </c>
      <c r="C590" s="375">
        <v>225502</v>
      </c>
      <c r="D590" s="336">
        <v>4</v>
      </c>
      <c r="E590" s="323">
        <v>5314</v>
      </c>
      <c r="F590" s="324">
        <v>5494</v>
      </c>
      <c r="G590" s="325">
        <v>13650</v>
      </c>
      <c r="H590" s="324">
        <v>13710</v>
      </c>
      <c r="I590" s="323">
        <v>5928</v>
      </c>
      <c r="J590" s="324">
        <v>6192</v>
      </c>
      <c r="K590" s="325">
        <v>11472</v>
      </c>
      <c r="L590" s="324">
        <v>11640</v>
      </c>
      <c r="M590" s="323"/>
      <c r="N590" s="324"/>
      <c r="O590" s="325"/>
      <c r="P590" s="324"/>
      <c r="Q590" s="323"/>
      <c r="R590" s="324"/>
      <c r="S590" s="325"/>
      <c r="T590" s="324"/>
      <c r="U590" s="323"/>
      <c r="V590" s="324"/>
      <c r="W590" s="325"/>
      <c r="X590" s="324"/>
      <c r="Y590" s="323"/>
      <c r="Z590" s="324"/>
      <c r="AA590" s="325"/>
      <c r="AB590" s="324"/>
      <c r="AC590" s="323"/>
      <c r="AD590" s="324"/>
      <c r="AE590" s="325"/>
      <c r="AF590" s="324"/>
      <c r="AG590" s="323"/>
      <c r="AH590" s="324"/>
      <c r="AI590" s="325"/>
      <c r="AJ590" s="324"/>
      <c r="AK590" s="323"/>
      <c r="AL590" s="324"/>
      <c r="AM590" s="325"/>
      <c r="AN590" s="324"/>
    </row>
    <row r="591" spans="1:40">
      <c r="A591" s="199" t="s">
        <v>216</v>
      </c>
      <c r="B591" s="219" t="s">
        <v>814</v>
      </c>
      <c r="C591" s="199">
        <v>227377</v>
      </c>
      <c r="D591" s="201">
        <v>4</v>
      </c>
      <c r="E591" s="323">
        <v>5436</v>
      </c>
      <c r="F591" s="324">
        <v>5612</v>
      </c>
      <c r="G591" s="325">
        <v>13688</v>
      </c>
      <c r="H591" s="324">
        <v>13808</v>
      </c>
      <c r="I591" s="323">
        <v>5115.5999999999995</v>
      </c>
      <c r="J591" s="324">
        <v>5307.5999999999995</v>
      </c>
      <c r="K591" s="325">
        <v>11859.6</v>
      </c>
      <c r="L591" s="324">
        <v>11955.6</v>
      </c>
      <c r="M591" s="323"/>
      <c r="N591" s="324"/>
      <c r="O591" s="325"/>
      <c r="P591" s="324"/>
      <c r="Q591" s="323"/>
      <c r="R591" s="324"/>
      <c r="S591" s="325"/>
      <c r="T591" s="324"/>
      <c r="U591" s="323"/>
      <c r="V591" s="324"/>
      <c r="W591" s="325"/>
      <c r="X591" s="324"/>
      <c r="Y591" s="323"/>
      <c r="Z591" s="324"/>
      <c r="AA591" s="325"/>
      <c r="AB591" s="324"/>
      <c r="AC591" s="323"/>
      <c r="AD591" s="324"/>
      <c r="AE591" s="325"/>
      <c r="AF591" s="324"/>
      <c r="AG591" s="323"/>
      <c r="AH591" s="324"/>
      <c r="AI591" s="325"/>
      <c r="AJ591" s="324"/>
      <c r="AK591" s="323"/>
      <c r="AL591" s="324"/>
      <c r="AM591" s="325"/>
      <c r="AN591" s="324"/>
    </row>
    <row r="592" spans="1:40">
      <c r="A592" s="199" t="s">
        <v>216</v>
      </c>
      <c r="B592" s="219" t="s">
        <v>815</v>
      </c>
      <c r="C592" s="220">
        <v>229018</v>
      </c>
      <c r="D592" s="203">
        <v>4</v>
      </c>
      <c r="E592" s="323">
        <v>5450</v>
      </c>
      <c r="F592" s="324">
        <v>5750</v>
      </c>
      <c r="G592" s="325">
        <v>12870</v>
      </c>
      <c r="H592" s="324">
        <v>13730</v>
      </c>
      <c r="I592" s="323">
        <v>4380</v>
      </c>
      <c r="J592" s="324">
        <v>4812</v>
      </c>
      <c r="K592" s="325">
        <v>9360</v>
      </c>
      <c r="L592" s="324">
        <v>11220</v>
      </c>
      <c r="M592" s="323"/>
      <c r="N592" s="324"/>
      <c r="O592" s="325"/>
      <c r="P592" s="324"/>
      <c r="Q592" s="323"/>
      <c r="R592" s="324"/>
      <c r="S592" s="325"/>
      <c r="T592" s="324"/>
      <c r="U592" s="323"/>
      <c r="V592" s="324"/>
      <c r="W592" s="325"/>
      <c r="X592" s="324"/>
      <c r="Y592" s="323"/>
      <c r="Z592" s="324"/>
      <c r="AA592" s="325"/>
      <c r="AB592" s="324"/>
      <c r="AC592" s="323"/>
      <c r="AD592" s="324"/>
      <c r="AE592" s="325"/>
      <c r="AF592" s="324"/>
      <c r="AG592" s="323"/>
      <c r="AH592" s="324"/>
      <c r="AI592" s="325"/>
      <c r="AJ592" s="324"/>
      <c r="AK592" s="323"/>
      <c r="AL592" s="324"/>
      <c r="AM592" s="325"/>
      <c r="AN592" s="324"/>
    </row>
    <row r="593" spans="1:40">
      <c r="A593" s="199" t="s">
        <v>216</v>
      </c>
      <c r="B593" s="204" t="s">
        <v>816</v>
      </c>
      <c r="C593" s="199" t="s">
        <v>817</v>
      </c>
      <c r="D593" s="201">
        <v>5</v>
      </c>
      <c r="E593" s="323">
        <v>5090</v>
      </c>
      <c r="F593" s="324">
        <v>5334</v>
      </c>
      <c r="G593" s="325">
        <v>13398</v>
      </c>
      <c r="H593" s="324">
        <v>13732</v>
      </c>
      <c r="I593" s="323">
        <v>4310.3999999999996</v>
      </c>
      <c r="J593" s="324">
        <v>4507.2</v>
      </c>
      <c r="K593" s="325">
        <v>10982.4</v>
      </c>
      <c r="L593" s="324">
        <v>11251.199999999999</v>
      </c>
      <c r="M593" s="323"/>
      <c r="N593" s="324"/>
      <c r="O593" s="325"/>
      <c r="P593" s="324"/>
      <c r="Q593" s="323"/>
      <c r="R593" s="324"/>
      <c r="S593" s="325"/>
      <c r="T593" s="324"/>
      <c r="U593" s="323"/>
      <c r="V593" s="324"/>
      <c r="W593" s="325"/>
      <c r="X593" s="324"/>
      <c r="Y593" s="323"/>
      <c r="Z593" s="324"/>
      <c r="AA593" s="325"/>
      <c r="AB593" s="324"/>
      <c r="AC593" s="323"/>
      <c r="AD593" s="324"/>
      <c r="AE593" s="325"/>
      <c r="AF593" s="324"/>
      <c r="AG593" s="323"/>
      <c r="AH593" s="324"/>
      <c r="AI593" s="325"/>
      <c r="AJ593" s="324"/>
      <c r="AK593" s="323"/>
      <c r="AL593" s="324"/>
      <c r="AM593" s="325"/>
      <c r="AN593" s="324"/>
    </row>
    <row r="594" spans="1:40">
      <c r="A594" s="199" t="s">
        <v>216</v>
      </c>
      <c r="B594" s="219" t="s">
        <v>818</v>
      </c>
      <c r="C594" s="220">
        <v>225432</v>
      </c>
      <c r="D594" s="203">
        <v>5</v>
      </c>
      <c r="E594" s="323">
        <v>5010</v>
      </c>
      <c r="F594" s="324">
        <v>5248</v>
      </c>
      <c r="G594" s="325">
        <v>13274</v>
      </c>
      <c r="H594" s="324">
        <v>13430</v>
      </c>
      <c r="I594" s="323">
        <v>5020.8</v>
      </c>
      <c r="J594" s="324">
        <v>5152.8</v>
      </c>
      <c r="K594" s="325">
        <v>10852.8</v>
      </c>
      <c r="L594" s="324">
        <v>11056.8</v>
      </c>
      <c r="M594" s="323"/>
      <c r="N594" s="324"/>
      <c r="O594" s="325"/>
      <c r="P594" s="324"/>
      <c r="Q594" s="323"/>
      <c r="R594" s="324"/>
      <c r="S594" s="325"/>
      <c r="T594" s="324"/>
      <c r="U594" s="323"/>
      <c r="V594" s="324"/>
      <c r="W594" s="325"/>
      <c r="X594" s="324"/>
      <c r="Y594" s="323"/>
      <c r="Z594" s="324"/>
      <c r="AA594" s="325"/>
      <c r="AB594" s="324"/>
      <c r="AC594" s="323"/>
      <c r="AD594" s="324"/>
      <c r="AE594" s="325"/>
      <c r="AF594" s="324"/>
      <c r="AG594" s="323"/>
      <c r="AH594" s="324"/>
      <c r="AI594" s="325"/>
      <c r="AJ594" s="324"/>
      <c r="AK594" s="323"/>
      <c r="AL594" s="324"/>
      <c r="AM594" s="325"/>
      <c r="AN594" s="324"/>
    </row>
    <row r="595" spans="1:40">
      <c r="A595" s="199" t="s">
        <v>216</v>
      </c>
      <c r="B595" s="204" t="s">
        <v>820</v>
      </c>
      <c r="C595" s="199">
        <v>228714</v>
      </c>
      <c r="D595" s="201">
        <v>6</v>
      </c>
      <c r="E595" s="323">
        <v>6870</v>
      </c>
      <c r="F595" s="324">
        <v>7186</v>
      </c>
      <c r="G595" s="325">
        <v>15148</v>
      </c>
      <c r="H595" s="324">
        <v>15493</v>
      </c>
      <c r="I595" s="323">
        <v>7880.4</v>
      </c>
      <c r="J595" s="444">
        <v>7230</v>
      </c>
      <c r="K595" s="325">
        <v>14907.599999999999</v>
      </c>
      <c r="L595" s="324">
        <v>13974</v>
      </c>
      <c r="M595" s="323"/>
      <c r="N595" s="324"/>
      <c r="O595" s="325"/>
      <c r="P595" s="324"/>
      <c r="Q595" s="323"/>
      <c r="R595" s="324"/>
      <c r="S595" s="325"/>
      <c r="T595" s="324"/>
      <c r="U595" s="323"/>
      <c r="V595" s="324"/>
      <c r="W595" s="325"/>
      <c r="X595" s="324"/>
      <c r="Y595" s="323"/>
      <c r="Z595" s="324"/>
      <c r="AA595" s="325"/>
      <c r="AB595" s="324"/>
      <c r="AC595" s="323"/>
      <c r="AD595" s="324"/>
      <c r="AE595" s="325"/>
      <c r="AF595" s="324"/>
      <c r="AG595" s="323"/>
      <c r="AH595" s="324"/>
      <c r="AI595" s="325"/>
      <c r="AJ595" s="324"/>
      <c r="AK595" s="323"/>
      <c r="AL595" s="324"/>
      <c r="AM595" s="325"/>
      <c r="AN595" s="324"/>
    </row>
    <row r="596" spans="1:40">
      <c r="A596" s="199" t="s">
        <v>216</v>
      </c>
      <c r="B596" s="382" t="s">
        <v>848</v>
      </c>
      <c r="C596" s="375">
        <v>223506</v>
      </c>
      <c r="D596" s="336">
        <v>7</v>
      </c>
      <c r="E596" s="323">
        <v>1392</v>
      </c>
      <c r="F596" s="324">
        <v>1542</v>
      </c>
      <c r="G596" s="325">
        <v>3432</v>
      </c>
      <c r="H596" s="324">
        <v>3582</v>
      </c>
      <c r="I596" s="323">
        <v>0</v>
      </c>
      <c r="J596" s="324">
        <v>0</v>
      </c>
      <c r="K596" s="325">
        <v>0</v>
      </c>
      <c r="L596" s="324">
        <v>0</v>
      </c>
      <c r="M596" s="323"/>
      <c r="N596" s="324"/>
      <c r="O596" s="325"/>
      <c r="P596" s="324"/>
      <c r="Q596" s="323"/>
      <c r="R596" s="324"/>
      <c r="S596" s="325"/>
      <c r="T596" s="324"/>
      <c r="U596" s="323"/>
      <c r="V596" s="324"/>
      <c r="W596" s="325"/>
      <c r="X596" s="324"/>
      <c r="Y596" s="323"/>
      <c r="Z596" s="324"/>
      <c r="AA596" s="325"/>
      <c r="AB596" s="324"/>
      <c r="AC596" s="323"/>
      <c r="AD596" s="324"/>
      <c r="AE596" s="325"/>
      <c r="AF596" s="324"/>
      <c r="AG596" s="323"/>
      <c r="AH596" s="324"/>
      <c r="AI596" s="325"/>
      <c r="AJ596" s="324"/>
      <c r="AK596" s="323"/>
      <c r="AL596" s="324"/>
      <c r="AM596" s="325"/>
      <c r="AN596" s="324"/>
    </row>
    <row r="597" spans="1:40">
      <c r="A597" s="199" t="s">
        <v>216</v>
      </c>
      <c r="B597" s="382" t="s">
        <v>860</v>
      </c>
      <c r="C597" s="375">
        <v>226806</v>
      </c>
      <c r="D597" s="336">
        <v>7</v>
      </c>
      <c r="E597" s="323">
        <v>1822</v>
      </c>
      <c r="F597" s="324">
        <v>1912</v>
      </c>
      <c r="G597" s="325">
        <v>2868</v>
      </c>
      <c r="H597" s="324">
        <v>3450</v>
      </c>
      <c r="I597" s="323">
        <v>0</v>
      </c>
      <c r="J597" s="324">
        <v>0</v>
      </c>
      <c r="K597" s="325">
        <v>0</v>
      </c>
      <c r="L597" s="324">
        <v>0</v>
      </c>
      <c r="M597" s="323"/>
      <c r="N597" s="324"/>
      <c r="O597" s="325"/>
      <c r="P597" s="324"/>
      <c r="Q597" s="323"/>
      <c r="R597" s="324"/>
      <c r="S597" s="325"/>
      <c r="T597" s="324"/>
      <c r="U597" s="323"/>
      <c r="V597" s="324"/>
      <c r="W597" s="325"/>
      <c r="X597" s="324"/>
      <c r="Y597" s="323"/>
      <c r="Z597" s="324"/>
      <c r="AA597" s="325"/>
      <c r="AB597" s="324"/>
      <c r="AC597" s="323"/>
      <c r="AD597" s="324"/>
      <c r="AE597" s="325"/>
      <c r="AF597" s="324"/>
      <c r="AG597" s="323"/>
      <c r="AH597" s="324"/>
      <c r="AI597" s="325"/>
      <c r="AJ597" s="324"/>
      <c r="AK597" s="323"/>
      <c r="AL597" s="324"/>
      <c r="AM597" s="325"/>
      <c r="AN597" s="324"/>
    </row>
    <row r="598" spans="1:40">
      <c r="A598" s="199" t="s">
        <v>216</v>
      </c>
      <c r="B598" s="382" t="s">
        <v>841</v>
      </c>
      <c r="C598" s="383">
        <v>409315</v>
      </c>
      <c r="D598" s="384">
        <v>7</v>
      </c>
      <c r="E598" s="323">
        <v>2320</v>
      </c>
      <c r="F598" s="324">
        <v>3008</v>
      </c>
      <c r="G598" s="325">
        <v>6610</v>
      </c>
      <c r="H598" s="324">
        <v>6880</v>
      </c>
      <c r="I598" s="323">
        <v>0</v>
      </c>
      <c r="J598" s="324">
        <v>0</v>
      </c>
      <c r="K598" s="325">
        <v>0</v>
      </c>
      <c r="L598" s="324">
        <v>0</v>
      </c>
      <c r="M598" s="323"/>
      <c r="N598" s="324"/>
      <c r="O598" s="325"/>
      <c r="P598" s="324"/>
      <c r="Q598" s="323"/>
      <c r="R598" s="324"/>
      <c r="S598" s="325"/>
      <c r="T598" s="324"/>
      <c r="U598" s="323"/>
      <c r="V598" s="324"/>
      <c r="W598" s="325"/>
      <c r="X598" s="324"/>
      <c r="Y598" s="323"/>
      <c r="Z598" s="324"/>
      <c r="AA598" s="325"/>
      <c r="AB598" s="324"/>
      <c r="AC598" s="323"/>
      <c r="AD598" s="324"/>
      <c r="AE598" s="325"/>
      <c r="AF598" s="324"/>
      <c r="AG598" s="323"/>
      <c r="AH598" s="324"/>
      <c r="AI598" s="325"/>
      <c r="AJ598" s="324"/>
      <c r="AK598" s="323"/>
      <c r="AL598" s="324"/>
      <c r="AM598" s="325"/>
      <c r="AN598" s="324"/>
    </row>
    <row r="599" spans="1:40">
      <c r="A599" s="199" t="s">
        <v>216</v>
      </c>
      <c r="B599" s="204" t="s">
        <v>821</v>
      </c>
      <c r="C599" s="199">
        <v>222576</v>
      </c>
      <c r="D599" s="201">
        <v>8</v>
      </c>
      <c r="E599" s="323">
        <v>1802</v>
      </c>
      <c r="F599" s="324">
        <v>1802</v>
      </c>
      <c r="G599" s="325">
        <v>3354</v>
      </c>
      <c r="H599" s="324">
        <v>3354</v>
      </c>
      <c r="I599" s="323">
        <v>0</v>
      </c>
      <c r="J599" s="324">
        <v>0</v>
      </c>
      <c r="K599" s="325">
        <v>0</v>
      </c>
      <c r="L599" s="324">
        <v>0</v>
      </c>
      <c r="M599" s="323"/>
      <c r="N599" s="324"/>
      <c r="O599" s="325"/>
      <c r="P599" s="324"/>
      <c r="Q599" s="323"/>
      <c r="R599" s="324"/>
      <c r="S599" s="325"/>
      <c r="T599" s="324"/>
      <c r="U599" s="323"/>
      <c r="V599" s="324"/>
      <c r="W599" s="325"/>
      <c r="X599" s="324"/>
      <c r="Y599" s="323"/>
      <c r="Z599" s="324"/>
      <c r="AA599" s="325"/>
      <c r="AB599" s="324"/>
      <c r="AC599" s="323"/>
      <c r="AD599" s="324"/>
      <c r="AE599" s="325"/>
      <c r="AF599" s="324"/>
      <c r="AG599" s="323"/>
      <c r="AH599" s="324"/>
      <c r="AI599" s="325"/>
      <c r="AJ599" s="324"/>
      <c r="AK599" s="323"/>
      <c r="AL599" s="324"/>
      <c r="AM599" s="325"/>
      <c r="AN599" s="324"/>
    </row>
    <row r="600" spans="1:40">
      <c r="A600" s="199" t="s">
        <v>216</v>
      </c>
      <c r="B600" s="204" t="s">
        <v>822</v>
      </c>
      <c r="C600" s="199">
        <v>222992</v>
      </c>
      <c r="D600" s="201">
        <v>8</v>
      </c>
      <c r="E600" s="323">
        <v>1608</v>
      </c>
      <c r="F600" s="324">
        <v>1608</v>
      </c>
      <c r="G600" s="325">
        <v>8494</v>
      </c>
      <c r="H600" s="324">
        <v>8494</v>
      </c>
      <c r="I600" s="323">
        <v>0</v>
      </c>
      <c r="J600" s="324">
        <v>0</v>
      </c>
      <c r="K600" s="325">
        <v>0</v>
      </c>
      <c r="L600" s="324">
        <v>0</v>
      </c>
      <c r="M600" s="323"/>
      <c r="N600" s="324"/>
      <c r="O600" s="325"/>
      <c r="P600" s="324"/>
      <c r="Q600" s="323"/>
      <c r="R600" s="324"/>
      <c r="S600" s="325"/>
      <c r="T600" s="324"/>
      <c r="U600" s="323"/>
      <c r="V600" s="324"/>
      <c r="W600" s="325"/>
      <c r="X600" s="324"/>
      <c r="Y600" s="323"/>
      <c r="Z600" s="324"/>
      <c r="AA600" s="325"/>
      <c r="AB600" s="324"/>
      <c r="AC600" s="323"/>
      <c r="AD600" s="324"/>
      <c r="AE600" s="325"/>
      <c r="AF600" s="324"/>
      <c r="AG600" s="323"/>
      <c r="AH600" s="324"/>
      <c r="AI600" s="325"/>
      <c r="AJ600" s="324"/>
      <c r="AK600" s="323"/>
      <c r="AL600" s="324"/>
      <c r="AM600" s="325"/>
      <c r="AN600" s="324"/>
    </row>
    <row r="601" spans="1:40">
      <c r="A601" s="199" t="s">
        <v>216</v>
      </c>
      <c r="B601" s="204" t="s">
        <v>823</v>
      </c>
      <c r="C601" s="199">
        <v>223427</v>
      </c>
      <c r="D601" s="201">
        <v>8</v>
      </c>
      <c r="E601" s="323">
        <v>2940</v>
      </c>
      <c r="F601" s="324">
        <v>2940</v>
      </c>
      <c r="G601" s="325">
        <v>5040</v>
      </c>
      <c r="H601" s="324">
        <v>5040</v>
      </c>
      <c r="I601" s="323">
        <v>0</v>
      </c>
      <c r="J601" s="324">
        <v>0</v>
      </c>
      <c r="K601" s="325">
        <v>0</v>
      </c>
      <c r="L601" s="324">
        <v>0</v>
      </c>
      <c r="M601" s="323"/>
      <c r="N601" s="324"/>
      <c r="O601" s="325"/>
      <c r="P601" s="324"/>
      <c r="Q601" s="323"/>
      <c r="R601" s="324"/>
      <c r="S601" s="325"/>
      <c r="T601" s="324"/>
      <c r="U601" s="323"/>
      <c r="V601" s="324"/>
      <c r="W601" s="325"/>
      <c r="X601" s="324"/>
      <c r="Y601" s="323"/>
      <c r="Z601" s="324"/>
      <c r="AA601" s="325"/>
      <c r="AB601" s="324"/>
      <c r="AC601" s="323"/>
      <c r="AD601" s="324"/>
      <c r="AE601" s="325"/>
      <c r="AF601" s="324"/>
      <c r="AG601" s="323"/>
      <c r="AH601" s="324"/>
      <c r="AI601" s="325"/>
      <c r="AJ601" s="324"/>
      <c r="AK601" s="323"/>
      <c r="AL601" s="324"/>
      <c r="AM601" s="325"/>
      <c r="AN601" s="324"/>
    </row>
    <row r="602" spans="1:40">
      <c r="A602" s="199" t="s">
        <v>216</v>
      </c>
      <c r="B602" s="204" t="s">
        <v>824</v>
      </c>
      <c r="C602" s="199">
        <v>223524</v>
      </c>
      <c r="D602" s="201">
        <v>8</v>
      </c>
      <c r="E602" s="323">
        <v>1170</v>
      </c>
      <c r="F602" s="324">
        <v>1230</v>
      </c>
      <c r="G602" s="325">
        <v>3450</v>
      </c>
      <c r="H602" s="324">
        <v>3630</v>
      </c>
      <c r="I602" s="323">
        <v>0</v>
      </c>
      <c r="J602" s="324">
        <v>0</v>
      </c>
      <c r="K602" s="325">
        <v>0</v>
      </c>
      <c r="L602" s="324">
        <v>0</v>
      </c>
      <c r="M602" s="323"/>
      <c r="N602" s="324"/>
      <c r="O602" s="325"/>
      <c r="P602" s="324"/>
      <c r="Q602" s="323"/>
      <c r="R602" s="324"/>
      <c r="S602" s="325"/>
      <c r="T602" s="324"/>
      <c r="U602" s="323"/>
      <c r="V602" s="324"/>
      <c r="W602" s="325"/>
      <c r="X602" s="324"/>
      <c r="Y602" s="323"/>
      <c r="Z602" s="324"/>
      <c r="AA602" s="325"/>
      <c r="AB602" s="324"/>
      <c r="AC602" s="323"/>
      <c r="AD602" s="324"/>
      <c r="AE602" s="325"/>
      <c r="AF602" s="324"/>
      <c r="AG602" s="323"/>
      <c r="AH602" s="324"/>
      <c r="AI602" s="325"/>
      <c r="AJ602" s="324"/>
      <c r="AK602" s="323"/>
      <c r="AL602" s="324"/>
      <c r="AM602" s="325"/>
      <c r="AN602" s="324"/>
    </row>
    <row r="603" spans="1:40">
      <c r="A603" s="199" t="s">
        <v>216</v>
      </c>
      <c r="B603" s="204" t="s">
        <v>825</v>
      </c>
      <c r="C603" s="199">
        <v>223816</v>
      </c>
      <c r="D603" s="201">
        <v>8</v>
      </c>
      <c r="E603" s="323">
        <v>2056</v>
      </c>
      <c r="F603" s="324">
        <v>2368</v>
      </c>
      <c r="G603" s="325">
        <v>4290</v>
      </c>
      <c r="H603" s="324">
        <v>4590</v>
      </c>
      <c r="I603" s="323">
        <v>0</v>
      </c>
      <c r="J603" s="324">
        <v>0</v>
      </c>
      <c r="K603" s="325">
        <v>0</v>
      </c>
      <c r="L603" s="324">
        <v>0</v>
      </c>
      <c r="M603" s="323"/>
      <c r="N603" s="324"/>
      <c r="O603" s="325"/>
      <c r="P603" s="324"/>
      <c r="Q603" s="323"/>
      <c r="R603" s="324"/>
      <c r="S603" s="325"/>
      <c r="T603" s="324"/>
      <c r="U603" s="323"/>
      <c r="V603" s="324"/>
      <c r="W603" s="325"/>
      <c r="X603" s="324"/>
      <c r="Y603" s="323"/>
      <c r="Z603" s="324"/>
      <c r="AA603" s="325"/>
      <c r="AB603" s="324"/>
      <c r="AC603" s="323"/>
      <c r="AD603" s="324"/>
      <c r="AE603" s="325"/>
      <c r="AF603" s="324"/>
      <c r="AG603" s="323"/>
      <c r="AH603" s="324"/>
      <c r="AI603" s="325"/>
      <c r="AJ603" s="324"/>
      <c r="AK603" s="323"/>
      <c r="AL603" s="324"/>
      <c r="AM603" s="325"/>
      <c r="AN603" s="324"/>
    </row>
    <row r="604" spans="1:40">
      <c r="A604" s="199" t="s">
        <v>216</v>
      </c>
      <c r="B604" s="204" t="s">
        <v>826</v>
      </c>
      <c r="C604" s="199">
        <v>247834</v>
      </c>
      <c r="D604" s="201">
        <v>8</v>
      </c>
      <c r="E604" s="323">
        <v>1114</v>
      </c>
      <c r="F604" s="324">
        <v>1114</v>
      </c>
      <c r="G604" s="325">
        <v>3002</v>
      </c>
      <c r="H604" s="324">
        <v>3002</v>
      </c>
      <c r="I604" s="323">
        <v>0</v>
      </c>
      <c r="J604" s="324">
        <v>0</v>
      </c>
      <c r="K604" s="325">
        <v>0</v>
      </c>
      <c r="L604" s="324">
        <v>0</v>
      </c>
      <c r="M604" s="323"/>
      <c r="N604" s="324"/>
      <c r="O604" s="325"/>
      <c r="P604" s="324"/>
      <c r="Q604" s="323"/>
      <c r="R604" s="324"/>
      <c r="S604" s="325"/>
      <c r="T604" s="324"/>
      <c r="U604" s="323"/>
      <c r="V604" s="324"/>
      <c r="W604" s="325"/>
      <c r="X604" s="324"/>
      <c r="Y604" s="323"/>
      <c r="Z604" s="324"/>
      <c r="AA604" s="325"/>
      <c r="AB604" s="324"/>
      <c r="AC604" s="323"/>
      <c r="AD604" s="324"/>
      <c r="AE604" s="325"/>
      <c r="AF604" s="324"/>
      <c r="AG604" s="323"/>
      <c r="AH604" s="324"/>
      <c r="AI604" s="325"/>
      <c r="AJ604" s="324"/>
      <c r="AK604" s="323"/>
      <c r="AL604" s="324"/>
      <c r="AM604" s="325"/>
      <c r="AN604" s="324"/>
    </row>
    <row r="605" spans="1:40">
      <c r="A605" s="199" t="s">
        <v>216</v>
      </c>
      <c r="B605" s="204" t="s">
        <v>827</v>
      </c>
      <c r="C605" s="199">
        <v>224350</v>
      </c>
      <c r="D605" s="201">
        <v>8</v>
      </c>
      <c r="E605" s="323">
        <v>2124</v>
      </c>
      <c r="F605" s="324">
        <v>2154</v>
      </c>
      <c r="G605" s="380">
        <v>6234</v>
      </c>
      <c r="H605" s="377">
        <v>3654</v>
      </c>
      <c r="I605" s="323">
        <v>0</v>
      </c>
      <c r="J605" s="324">
        <v>0</v>
      </c>
      <c r="K605" s="325">
        <v>0</v>
      </c>
      <c r="L605" s="324">
        <v>0</v>
      </c>
      <c r="M605" s="323"/>
      <c r="N605" s="324"/>
      <c r="O605" s="325"/>
      <c r="P605" s="324"/>
      <c r="Q605" s="323"/>
      <c r="R605" s="324"/>
      <c r="S605" s="325"/>
      <c r="T605" s="324"/>
      <c r="U605" s="323"/>
      <c r="V605" s="324"/>
      <c r="W605" s="325"/>
      <c r="X605" s="324"/>
      <c r="Y605" s="323"/>
      <c r="Z605" s="324"/>
      <c r="AA605" s="325"/>
      <c r="AB605" s="324"/>
      <c r="AC605" s="323"/>
      <c r="AD605" s="324"/>
      <c r="AE605" s="325"/>
      <c r="AF605" s="324"/>
      <c r="AG605" s="323"/>
      <c r="AH605" s="324"/>
      <c r="AI605" s="325"/>
      <c r="AJ605" s="324"/>
      <c r="AK605" s="323"/>
      <c r="AL605" s="324"/>
      <c r="AM605" s="325"/>
      <c r="AN605" s="324"/>
    </row>
    <row r="606" spans="1:40">
      <c r="A606" s="199" t="s">
        <v>216</v>
      </c>
      <c r="B606" s="204" t="s">
        <v>828</v>
      </c>
      <c r="C606" s="199">
        <v>224572</v>
      </c>
      <c r="D606" s="201">
        <v>8</v>
      </c>
      <c r="E606" s="323">
        <v>1170</v>
      </c>
      <c r="F606" s="324">
        <v>1230</v>
      </c>
      <c r="G606" s="325">
        <v>3450</v>
      </c>
      <c r="H606" s="324">
        <v>3630</v>
      </c>
      <c r="I606" s="323">
        <v>0</v>
      </c>
      <c r="J606" s="324">
        <v>0</v>
      </c>
      <c r="K606" s="325">
        <v>0</v>
      </c>
      <c r="L606" s="324">
        <v>0</v>
      </c>
      <c r="M606" s="323"/>
      <c r="N606" s="324"/>
      <c r="O606" s="325"/>
      <c r="P606" s="324"/>
      <c r="Q606" s="323"/>
      <c r="R606" s="324"/>
      <c r="S606" s="325"/>
      <c r="T606" s="324"/>
      <c r="U606" s="323"/>
      <c r="V606" s="324"/>
      <c r="W606" s="325"/>
      <c r="X606" s="324"/>
      <c r="Y606" s="323"/>
      <c r="Z606" s="324"/>
      <c r="AA606" s="325"/>
      <c r="AB606" s="324"/>
      <c r="AC606" s="323"/>
      <c r="AD606" s="324"/>
      <c r="AE606" s="325"/>
      <c r="AF606" s="324"/>
      <c r="AG606" s="323"/>
      <c r="AH606" s="324"/>
      <c r="AI606" s="325"/>
      <c r="AJ606" s="324"/>
      <c r="AK606" s="323"/>
      <c r="AL606" s="324"/>
      <c r="AM606" s="325"/>
      <c r="AN606" s="324"/>
    </row>
    <row r="607" spans="1:40">
      <c r="A607" s="199" t="s">
        <v>216</v>
      </c>
      <c r="B607" s="204" t="s">
        <v>829</v>
      </c>
      <c r="C607" s="199">
        <v>224642</v>
      </c>
      <c r="D607" s="201">
        <v>8</v>
      </c>
      <c r="E607" s="323">
        <v>1724</v>
      </c>
      <c r="F607" s="324">
        <v>1724</v>
      </c>
      <c r="G607" s="325">
        <v>2442</v>
      </c>
      <c r="H607" s="324">
        <v>2775</v>
      </c>
      <c r="I607" s="323">
        <v>0</v>
      </c>
      <c r="J607" s="324">
        <v>0</v>
      </c>
      <c r="K607" s="325">
        <v>0</v>
      </c>
      <c r="L607" s="324">
        <v>0</v>
      </c>
      <c r="M607" s="323"/>
      <c r="N607" s="324"/>
      <c r="O607" s="325"/>
      <c r="P607" s="324"/>
      <c r="Q607" s="323"/>
      <c r="R607" s="324"/>
      <c r="S607" s="325"/>
      <c r="T607" s="324"/>
      <c r="U607" s="323"/>
      <c r="V607" s="324"/>
      <c r="W607" s="325"/>
      <c r="X607" s="324"/>
      <c r="Y607" s="323"/>
      <c r="Z607" s="324"/>
      <c r="AA607" s="325"/>
      <c r="AB607" s="324"/>
      <c r="AC607" s="323"/>
      <c r="AD607" s="324"/>
      <c r="AE607" s="325"/>
      <c r="AF607" s="324"/>
      <c r="AG607" s="323"/>
      <c r="AH607" s="324"/>
      <c r="AI607" s="325"/>
      <c r="AJ607" s="324"/>
      <c r="AK607" s="323"/>
      <c r="AL607" s="324"/>
      <c r="AM607" s="325"/>
      <c r="AN607" s="324"/>
    </row>
    <row r="608" spans="1:40">
      <c r="A608" s="199" t="s">
        <v>216</v>
      </c>
      <c r="B608" s="204" t="s">
        <v>830</v>
      </c>
      <c r="C608" s="199">
        <v>225423</v>
      </c>
      <c r="D608" s="201">
        <v>8</v>
      </c>
      <c r="E608" s="323">
        <v>1674</v>
      </c>
      <c r="F608" s="324">
        <v>1702</v>
      </c>
      <c r="G608" s="325">
        <v>3066</v>
      </c>
      <c r="H608" s="324">
        <v>3066</v>
      </c>
      <c r="I608" s="323">
        <v>0</v>
      </c>
      <c r="J608" s="324">
        <v>0</v>
      </c>
      <c r="K608" s="325">
        <v>0</v>
      </c>
      <c r="L608" s="324">
        <v>0</v>
      </c>
      <c r="M608" s="323"/>
      <c r="N608" s="324"/>
      <c r="O608" s="325"/>
      <c r="P608" s="324"/>
      <c r="Q608" s="323"/>
      <c r="R608" s="324"/>
      <c r="S608" s="325"/>
      <c r="T608" s="324"/>
      <c r="U608" s="323"/>
      <c r="V608" s="324"/>
      <c r="W608" s="325"/>
      <c r="X608" s="324"/>
      <c r="Y608" s="323"/>
      <c r="Z608" s="324"/>
      <c r="AA608" s="325"/>
      <c r="AB608" s="324"/>
      <c r="AC608" s="323"/>
      <c r="AD608" s="324"/>
      <c r="AE608" s="325"/>
      <c r="AF608" s="324"/>
      <c r="AG608" s="323"/>
      <c r="AH608" s="324"/>
      <c r="AI608" s="325"/>
      <c r="AJ608" s="324"/>
      <c r="AK608" s="323"/>
      <c r="AL608" s="324"/>
      <c r="AM608" s="325"/>
      <c r="AN608" s="324"/>
    </row>
    <row r="609" spans="1:40">
      <c r="A609" s="199" t="s">
        <v>216</v>
      </c>
      <c r="B609" s="219" t="s">
        <v>831</v>
      </c>
      <c r="C609" s="220">
        <v>226134</v>
      </c>
      <c r="D609" s="203">
        <v>8</v>
      </c>
      <c r="E609" s="323">
        <v>2066</v>
      </c>
      <c r="F609" s="324">
        <v>2066</v>
      </c>
      <c r="G609" s="325">
        <v>4416</v>
      </c>
      <c r="H609" s="324">
        <v>4416</v>
      </c>
      <c r="I609" s="323">
        <v>0</v>
      </c>
      <c r="J609" s="324">
        <v>0</v>
      </c>
      <c r="K609" s="325">
        <v>0</v>
      </c>
      <c r="L609" s="324">
        <v>0</v>
      </c>
      <c r="M609" s="323"/>
      <c r="N609" s="324"/>
      <c r="O609" s="325"/>
      <c r="P609" s="324"/>
      <c r="Q609" s="323"/>
      <c r="R609" s="324"/>
      <c r="S609" s="325"/>
      <c r="T609" s="324"/>
      <c r="U609" s="323"/>
      <c r="V609" s="324"/>
      <c r="W609" s="325"/>
      <c r="X609" s="324"/>
      <c r="Y609" s="323"/>
      <c r="Z609" s="324"/>
      <c r="AA609" s="325"/>
      <c r="AB609" s="324"/>
      <c r="AC609" s="323"/>
      <c r="AD609" s="324"/>
      <c r="AE609" s="325"/>
      <c r="AF609" s="324"/>
      <c r="AG609" s="323"/>
      <c r="AH609" s="324"/>
      <c r="AI609" s="325"/>
      <c r="AJ609" s="324"/>
      <c r="AK609" s="323"/>
      <c r="AL609" s="324"/>
      <c r="AM609" s="325"/>
      <c r="AN609" s="324"/>
    </row>
    <row r="610" spans="1:40">
      <c r="A610" s="199" t="s">
        <v>216</v>
      </c>
      <c r="B610" s="219" t="s">
        <v>1056</v>
      </c>
      <c r="C610" s="199">
        <v>227182</v>
      </c>
      <c r="D610" s="201">
        <v>8</v>
      </c>
      <c r="E610" s="323">
        <v>1466</v>
      </c>
      <c r="F610" s="324">
        <v>1546</v>
      </c>
      <c r="G610" s="381">
        <v>0</v>
      </c>
      <c r="H610" s="324">
        <v>2832</v>
      </c>
      <c r="I610" s="323">
        <v>0</v>
      </c>
      <c r="J610" s="324">
        <v>0</v>
      </c>
      <c r="K610" s="325">
        <v>0</v>
      </c>
      <c r="L610" s="324">
        <v>0</v>
      </c>
      <c r="M610" s="323"/>
      <c r="N610" s="324"/>
      <c r="O610" s="325"/>
      <c r="P610" s="324"/>
      <c r="Q610" s="323"/>
      <c r="R610" s="324"/>
      <c r="S610" s="325"/>
      <c r="T610" s="324"/>
      <c r="U610" s="323"/>
      <c r="V610" s="324"/>
      <c r="W610" s="325"/>
      <c r="X610" s="324"/>
      <c r="Y610" s="323"/>
      <c r="Z610" s="324"/>
      <c r="AA610" s="325"/>
      <c r="AB610" s="324"/>
      <c r="AC610" s="323"/>
      <c r="AD610" s="324"/>
      <c r="AE610" s="325"/>
      <c r="AF610" s="324"/>
      <c r="AG610" s="323"/>
      <c r="AH610" s="324"/>
      <c r="AI610" s="325"/>
      <c r="AJ610" s="324"/>
      <c r="AK610" s="323"/>
      <c r="AL610" s="324"/>
      <c r="AM610" s="325"/>
      <c r="AN610" s="324"/>
    </row>
    <row r="611" spans="1:40">
      <c r="A611" s="199" t="s">
        <v>216</v>
      </c>
      <c r="B611" s="219" t="s">
        <v>832</v>
      </c>
      <c r="C611" s="220">
        <v>226578</v>
      </c>
      <c r="D611" s="203">
        <v>8</v>
      </c>
      <c r="E611" s="323">
        <v>1990</v>
      </c>
      <c r="F611" s="324">
        <v>2062</v>
      </c>
      <c r="G611" s="325">
        <v>3900</v>
      </c>
      <c r="H611" s="324">
        <v>3990</v>
      </c>
      <c r="I611" s="323">
        <v>0</v>
      </c>
      <c r="J611" s="324">
        <v>0</v>
      </c>
      <c r="K611" s="325">
        <v>0</v>
      </c>
      <c r="L611" s="324">
        <v>0</v>
      </c>
      <c r="M611" s="323"/>
      <c r="N611" s="324"/>
      <c r="O611" s="325"/>
      <c r="P611" s="324"/>
      <c r="Q611" s="323"/>
      <c r="R611" s="324"/>
      <c r="S611" s="325"/>
      <c r="T611" s="324"/>
      <c r="U611" s="323"/>
      <c r="V611" s="324"/>
      <c r="W611" s="325"/>
      <c r="X611" s="324"/>
      <c r="Y611" s="323"/>
      <c r="Z611" s="324"/>
      <c r="AA611" s="325"/>
      <c r="AB611" s="324"/>
      <c r="AC611" s="323"/>
      <c r="AD611" s="324"/>
      <c r="AE611" s="325"/>
      <c r="AF611" s="324"/>
      <c r="AG611" s="323"/>
      <c r="AH611" s="324"/>
      <c r="AI611" s="325"/>
      <c r="AJ611" s="324"/>
      <c r="AK611" s="323"/>
      <c r="AL611" s="324"/>
      <c r="AM611" s="325"/>
      <c r="AN611" s="324"/>
    </row>
    <row r="612" spans="1:40">
      <c r="A612" s="199" t="s">
        <v>216</v>
      </c>
      <c r="B612" s="222" t="s">
        <v>833</v>
      </c>
      <c r="C612" s="223">
        <v>227146</v>
      </c>
      <c r="D612" s="224">
        <v>8</v>
      </c>
      <c r="E612" s="323">
        <v>2172</v>
      </c>
      <c r="F612" s="324">
        <v>2172</v>
      </c>
      <c r="G612" s="325">
        <v>3050</v>
      </c>
      <c r="H612" s="324">
        <v>3234</v>
      </c>
      <c r="I612" s="323">
        <v>0</v>
      </c>
      <c r="J612" s="324">
        <v>0</v>
      </c>
      <c r="K612" s="325">
        <v>0</v>
      </c>
      <c r="L612" s="324">
        <v>0</v>
      </c>
      <c r="M612" s="323"/>
      <c r="N612" s="324"/>
      <c r="O612" s="325"/>
      <c r="P612" s="324"/>
      <c r="Q612" s="323"/>
      <c r="R612" s="324"/>
      <c r="S612" s="325"/>
      <c r="T612" s="324"/>
      <c r="U612" s="323"/>
      <c r="V612" s="324"/>
      <c r="W612" s="325"/>
      <c r="X612" s="324"/>
      <c r="Y612" s="323"/>
      <c r="Z612" s="324"/>
      <c r="AA612" s="325"/>
      <c r="AB612" s="324"/>
      <c r="AC612" s="323"/>
      <c r="AD612" s="324"/>
      <c r="AE612" s="325"/>
      <c r="AF612" s="324"/>
      <c r="AG612" s="323"/>
      <c r="AH612" s="324"/>
      <c r="AI612" s="325"/>
      <c r="AJ612" s="324"/>
      <c r="AK612" s="323"/>
      <c r="AL612" s="324"/>
      <c r="AM612" s="325"/>
      <c r="AN612" s="324"/>
    </row>
    <row r="613" spans="1:40">
      <c r="A613" s="199" t="s">
        <v>216</v>
      </c>
      <c r="B613" s="204" t="s">
        <v>834</v>
      </c>
      <c r="C613" s="199">
        <v>227191</v>
      </c>
      <c r="D613" s="201">
        <v>8</v>
      </c>
      <c r="E613" s="323">
        <v>1170</v>
      </c>
      <c r="F613" s="324">
        <v>1230</v>
      </c>
      <c r="G613" s="325">
        <v>3450</v>
      </c>
      <c r="H613" s="324">
        <v>3630</v>
      </c>
      <c r="I613" s="323">
        <v>0</v>
      </c>
      <c r="J613" s="324">
        <v>0</v>
      </c>
      <c r="K613" s="325">
        <v>0</v>
      </c>
      <c r="L613" s="324">
        <v>0</v>
      </c>
      <c r="M613" s="323"/>
      <c r="N613" s="324"/>
      <c r="O613" s="325"/>
      <c r="P613" s="324"/>
      <c r="Q613" s="323"/>
      <c r="R613" s="324"/>
      <c r="S613" s="325"/>
      <c r="T613" s="324"/>
      <c r="U613" s="323"/>
      <c r="V613" s="324"/>
      <c r="W613" s="325"/>
      <c r="X613" s="324"/>
      <c r="Y613" s="323"/>
      <c r="Z613" s="324"/>
      <c r="AA613" s="325"/>
      <c r="AB613" s="324"/>
      <c r="AC613" s="323"/>
      <c r="AD613" s="324"/>
      <c r="AE613" s="325"/>
      <c r="AF613" s="324"/>
      <c r="AG613" s="323"/>
      <c r="AH613" s="324"/>
      <c r="AI613" s="325"/>
      <c r="AJ613" s="324"/>
      <c r="AK613" s="323"/>
      <c r="AL613" s="324"/>
      <c r="AM613" s="325"/>
      <c r="AN613" s="324"/>
    </row>
    <row r="614" spans="1:40">
      <c r="A614" s="199" t="s">
        <v>216</v>
      </c>
      <c r="B614" s="219" t="s">
        <v>835</v>
      </c>
      <c r="C614" s="199">
        <v>420398</v>
      </c>
      <c r="D614" s="201">
        <v>8</v>
      </c>
      <c r="E614" s="323">
        <v>1832</v>
      </c>
      <c r="F614" s="324">
        <v>1859</v>
      </c>
      <c r="G614" s="325">
        <v>5792</v>
      </c>
      <c r="H614" s="324">
        <v>7254</v>
      </c>
      <c r="I614" s="323">
        <v>0</v>
      </c>
      <c r="J614" s="324">
        <v>0</v>
      </c>
      <c r="K614" s="325">
        <v>0</v>
      </c>
      <c r="L614" s="324">
        <v>0</v>
      </c>
      <c r="M614" s="323"/>
      <c r="N614" s="324"/>
      <c r="O614" s="325"/>
      <c r="P614" s="324"/>
      <c r="Q614" s="323"/>
      <c r="R614" s="324"/>
      <c r="S614" s="325"/>
      <c r="T614" s="324"/>
      <c r="U614" s="323"/>
      <c r="V614" s="324"/>
      <c r="W614" s="325"/>
      <c r="X614" s="324"/>
      <c r="Y614" s="323"/>
      <c r="Z614" s="324"/>
      <c r="AA614" s="325"/>
      <c r="AB614" s="324"/>
      <c r="AC614" s="323"/>
      <c r="AD614" s="324"/>
      <c r="AE614" s="325"/>
      <c r="AF614" s="324"/>
      <c r="AG614" s="323"/>
      <c r="AH614" s="324"/>
      <c r="AI614" s="325"/>
      <c r="AJ614" s="324"/>
      <c r="AK614" s="323"/>
      <c r="AL614" s="324"/>
      <c r="AM614" s="325"/>
      <c r="AN614" s="324"/>
    </row>
    <row r="615" spans="1:40">
      <c r="A615" s="199" t="s">
        <v>216</v>
      </c>
      <c r="B615" s="219" t="s">
        <v>836</v>
      </c>
      <c r="C615" s="199">
        <v>246354</v>
      </c>
      <c r="D615" s="201">
        <v>8</v>
      </c>
      <c r="E615" s="323">
        <v>1832</v>
      </c>
      <c r="F615" s="324">
        <v>1859</v>
      </c>
      <c r="G615" s="325">
        <v>5792</v>
      </c>
      <c r="H615" s="324">
        <v>7254</v>
      </c>
      <c r="I615" s="323">
        <v>0</v>
      </c>
      <c r="J615" s="324">
        <v>0</v>
      </c>
      <c r="K615" s="325">
        <v>0</v>
      </c>
      <c r="L615" s="324">
        <v>0</v>
      </c>
      <c r="M615" s="323"/>
      <c r="N615" s="324"/>
      <c r="O615" s="325"/>
      <c r="P615" s="324"/>
      <c r="Q615" s="323"/>
      <c r="R615" s="324"/>
      <c r="S615" s="325"/>
      <c r="T615" s="324"/>
      <c r="U615" s="323"/>
      <c r="V615" s="324"/>
      <c r="W615" s="325"/>
      <c r="X615" s="324"/>
      <c r="Y615" s="323"/>
      <c r="Z615" s="324"/>
      <c r="AA615" s="325"/>
      <c r="AB615" s="324"/>
      <c r="AC615" s="323"/>
      <c r="AD615" s="324"/>
      <c r="AE615" s="325"/>
      <c r="AF615" s="324"/>
      <c r="AG615" s="323"/>
      <c r="AH615" s="324"/>
      <c r="AI615" s="325"/>
      <c r="AJ615" s="324"/>
      <c r="AK615" s="323"/>
      <c r="AL615" s="324"/>
      <c r="AM615" s="325"/>
      <c r="AN615" s="324"/>
    </row>
    <row r="616" spans="1:40">
      <c r="A616" s="199" t="s">
        <v>216</v>
      </c>
      <c r="B616" s="204" t="s">
        <v>837</v>
      </c>
      <c r="C616" s="199">
        <v>227766</v>
      </c>
      <c r="D616" s="201">
        <v>8</v>
      </c>
      <c r="E616" s="323">
        <v>1170</v>
      </c>
      <c r="F616" s="324">
        <v>1230</v>
      </c>
      <c r="G616" s="325">
        <v>3450</v>
      </c>
      <c r="H616" s="324">
        <v>3630</v>
      </c>
      <c r="I616" s="323">
        <v>0</v>
      </c>
      <c r="J616" s="324">
        <v>0</v>
      </c>
      <c r="K616" s="325">
        <v>0</v>
      </c>
      <c r="L616" s="324">
        <v>0</v>
      </c>
      <c r="M616" s="323"/>
      <c r="N616" s="324"/>
      <c r="O616" s="325"/>
      <c r="P616" s="324"/>
      <c r="Q616" s="323"/>
      <c r="R616" s="324"/>
      <c r="S616" s="325"/>
      <c r="T616" s="324"/>
      <c r="U616" s="323"/>
      <c r="V616" s="324"/>
      <c r="W616" s="325"/>
      <c r="X616" s="324"/>
      <c r="Y616" s="323"/>
      <c r="Z616" s="324"/>
      <c r="AA616" s="325"/>
      <c r="AB616" s="324"/>
      <c r="AC616" s="323"/>
      <c r="AD616" s="324"/>
      <c r="AE616" s="325"/>
      <c r="AF616" s="324"/>
      <c r="AG616" s="323"/>
      <c r="AH616" s="324"/>
      <c r="AI616" s="325"/>
      <c r="AJ616" s="324"/>
      <c r="AK616" s="323"/>
      <c r="AL616" s="324"/>
      <c r="AM616" s="325"/>
      <c r="AN616" s="324"/>
    </row>
    <row r="617" spans="1:40">
      <c r="A617" s="199" t="s">
        <v>216</v>
      </c>
      <c r="B617" s="204" t="s">
        <v>838</v>
      </c>
      <c r="C617" s="199">
        <v>227924</v>
      </c>
      <c r="D617" s="201">
        <v>8</v>
      </c>
      <c r="E617" s="323">
        <v>1832</v>
      </c>
      <c r="F617" s="324">
        <v>1859</v>
      </c>
      <c r="G617" s="325">
        <v>5792</v>
      </c>
      <c r="H617" s="324">
        <v>7254</v>
      </c>
      <c r="I617" s="323">
        <v>0</v>
      </c>
      <c r="J617" s="324">
        <v>0</v>
      </c>
      <c r="K617" s="325">
        <v>0</v>
      </c>
      <c r="L617" s="324">
        <v>0</v>
      </c>
      <c r="M617" s="323"/>
      <c r="N617" s="324"/>
      <c r="O617" s="325"/>
      <c r="P617" s="324"/>
      <c r="Q617" s="323"/>
      <c r="R617" s="324"/>
      <c r="S617" s="325"/>
      <c r="T617" s="324"/>
      <c r="U617" s="323"/>
      <c r="V617" s="324"/>
      <c r="W617" s="325"/>
      <c r="X617" s="324"/>
      <c r="Y617" s="323"/>
      <c r="Z617" s="324"/>
      <c r="AA617" s="325"/>
      <c r="AB617" s="324"/>
      <c r="AC617" s="323"/>
      <c r="AD617" s="324"/>
      <c r="AE617" s="325"/>
      <c r="AF617" s="324"/>
      <c r="AG617" s="323"/>
      <c r="AH617" s="324"/>
      <c r="AI617" s="325"/>
      <c r="AJ617" s="324"/>
      <c r="AK617" s="323"/>
      <c r="AL617" s="324"/>
      <c r="AM617" s="325"/>
      <c r="AN617" s="324"/>
    </row>
    <row r="618" spans="1:40">
      <c r="A618" s="199" t="s">
        <v>216</v>
      </c>
      <c r="B618" s="204" t="s">
        <v>839</v>
      </c>
      <c r="C618" s="199">
        <v>227979</v>
      </c>
      <c r="D618" s="201">
        <v>8</v>
      </c>
      <c r="E618" s="323">
        <v>1310</v>
      </c>
      <c r="F618" s="324">
        <v>1310</v>
      </c>
      <c r="G618" s="325">
        <v>3470</v>
      </c>
      <c r="H618" s="324">
        <v>3560</v>
      </c>
      <c r="I618" s="323">
        <v>0</v>
      </c>
      <c r="J618" s="324">
        <v>0</v>
      </c>
      <c r="K618" s="325">
        <v>0</v>
      </c>
      <c r="L618" s="324">
        <v>0</v>
      </c>
      <c r="M618" s="323"/>
      <c r="N618" s="324"/>
      <c r="O618" s="325"/>
      <c r="P618" s="324"/>
      <c r="Q618" s="323"/>
      <c r="R618" s="324"/>
      <c r="S618" s="325"/>
      <c r="T618" s="324"/>
      <c r="U618" s="323"/>
      <c r="V618" s="324"/>
      <c r="W618" s="325"/>
      <c r="X618" s="324"/>
      <c r="Y618" s="323"/>
      <c r="Z618" s="324"/>
      <c r="AA618" s="325"/>
      <c r="AB618" s="324"/>
      <c r="AC618" s="323"/>
      <c r="AD618" s="324"/>
      <c r="AE618" s="325"/>
      <c r="AF618" s="324"/>
      <c r="AG618" s="323"/>
      <c r="AH618" s="324"/>
      <c r="AI618" s="325"/>
      <c r="AJ618" s="324"/>
      <c r="AK618" s="323"/>
      <c r="AL618" s="324"/>
      <c r="AM618" s="325"/>
      <c r="AN618" s="324"/>
    </row>
    <row r="619" spans="1:40">
      <c r="A619" s="199" t="s">
        <v>216</v>
      </c>
      <c r="B619" s="204" t="s">
        <v>840</v>
      </c>
      <c r="C619" s="199">
        <v>228158</v>
      </c>
      <c r="D619" s="201">
        <v>8</v>
      </c>
      <c r="E619" s="323">
        <v>2798</v>
      </c>
      <c r="F619" s="324">
        <v>2798</v>
      </c>
      <c r="G619" s="325">
        <v>3032</v>
      </c>
      <c r="H619" s="324">
        <v>3032</v>
      </c>
      <c r="I619" s="323">
        <v>0</v>
      </c>
      <c r="J619" s="324">
        <v>0</v>
      </c>
      <c r="K619" s="325">
        <v>0</v>
      </c>
      <c r="L619" s="324">
        <v>0</v>
      </c>
      <c r="M619" s="323"/>
      <c r="N619" s="324"/>
      <c r="O619" s="325"/>
      <c r="P619" s="324"/>
      <c r="Q619" s="323"/>
      <c r="R619" s="324"/>
      <c r="S619" s="325"/>
      <c r="T619" s="324"/>
      <c r="U619" s="323"/>
      <c r="V619" s="324"/>
      <c r="W619" s="325"/>
      <c r="X619" s="324"/>
      <c r="Y619" s="323"/>
      <c r="Z619" s="324"/>
      <c r="AA619" s="325"/>
      <c r="AB619" s="324"/>
      <c r="AC619" s="323"/>
      <c r="AD619" s="324"/>
      <c r="AE619" s="325"/>
      <c r="AF619" s="324"/>
      <c r="AG619" s="323"/>
      <c r="AH619" s="324"/>
      <c r="AI619" s="325"/>
      <c r="AJ619" s="324"/>
      <c r="AK619" s="323"/>
      <c r="AL619" s="324"/>
      <c r="AM619" s="325"/>
      <c r="AN619" s="324"/>
    </row>
    <row r="620" spans="1:40">
      <c r="A620" s="199" t="s">
        <v>216</v>
      </c>
      <c r="B620" s="204" t="s">
        <v>842</v>
      </c>
      <c r="C620" s="199">
        <v>227854</v>
      </c>
      <c r="D620" s="201">
        <v>8</v>
      </c>
      <c r="E620" s="323">
        <v>1832</v>
      </c>
      <c r="F620" s="324">
        <v>1859</v>
      </c>
      <c r="G620" s="325">
        <v>5792</v>
      </c>
      <c r="H620" s="324">
        <v>7254</v>
      </c>
      <c r="I620" s="323">
        <v>0</v>
      </c>
      <c r="J620" s="324">
        <v>0</v>
      </c>
      <c r="K620" s="325">
        <v>0</v>
      </c>
      <c r="L620" s="324">
        <v>0</v>
      </c>
      <c r="M620" s="323"/>
      <c r="N620" s="324"/>
      <c r="O620" s="325"/>
      <c r="P620" s="324"/>
      <c r="Q620" s="323"/>
      <c r="R620" s="324"/>
      <c r="S620" s="325"/>
      <c r="T620" s="324"/>
      <c r="U620" s="323"/>
      <c r="V620" s="324"/>
      <c r="W620" s="325"/>
      <c r="X620" s="324"/>
      <c r="Y620" s="323"/>
      <c r="Z620" s="324"/>
      <c r="AA620" s="325"/>
      <c r="AB620" s="324"/>
      <c r="AC620" s="323"/>
      <c r="AD620" s="324"/>
      <c r="AE620" s="325"/>
      <c r="AF620" s="324"/>
      <c r="AG620" s="323"/>
      <c r="AH620" s="324"/>
      <c r="AI620" s="325"/>
      <c r="AJ620" s="324"/>
      <c r="AK620" s="323"/>
      <c r="AL620" s="324"/>
      <c r="AM620" s="325"/>
      <c r="AN620" s="324"/>
    </row>
    <row r="621" spans="1:40">
      <c r="A621" s="199" t="s">
        <v>216</v>
      </c>
      <c r="B621" s="204" t="s">
        <v>843</v>
      </c>
      <c r="C621" s="199">
        <v>228547</v>
      </c>
      <c r="D621" s="201">
        <v>8</v>
      </c>
      <c r="E621" s="323">
        <v>1500</v>
      </c>
      <c r="F621" s="324">
        <v>1500</v>
      </c>
      <c r="G621" s="325">
        <v>4950</v>
      </c>
      <c r="H621" s="324">
        <v>4950</v>
      </c>
      <c r="I621" s="323">
        <v>0</v>
      </c>
      <c r="J621" s="324">
        <v>0</v>
      </c>
      <c r="K621" s="325">
        <v>0</v>
      </c>
      <c r="L621" s="324">
        <v>0</v>
      </c>
      <c r="M621" s="323"/>
      <c r="N621" s="324"/>
      <c r="O621" s="325"/>
      <c r="P621" s="324"/>
      <c r="Q621" s="323"/>
      <c r="R621" s="324"/>
      <c r="S621" s="325"/>
      <c r="T621" s="324"/>
      <c r="U621" s="323"/>
      <c r="V621" s="324"/>
      <c r="W621" s="325"/>
      <c r="X621" s="324"/>
      <c r="Y621" s="323"/>
      <c r="Z621" s="324"/>
      <c r="AA621" s="325"/>
      <c r="AB621" s="324"/>
      <c r="AC621" s="323"/>
      <c r="AD621" s="324"/>
      <c r="AE621" s="325"/>
      <c r="AF621" s="324"/>
      <c r="AG621" s="323"/>
      <c r="AH621" s="324"/>
      <c r="AI621" s="325"/>
      <c r="AJ621" s="324"/>
      <c r="AK621" s="323"/>
      <c r="AL621" s="324"/>
      <c r="AM621" s="325"/>
      <c r="AN621" s="324"/>
    </row>
    <row r="622" spans="1:40">
      <c r="A622" s="199" t="s">
        <v>216</v>
      </c>
      <c r="B622" s="204" t="s">
        <v>844</v>
      </c>
      <c r="C622" s="199">
        <v>229072</v>
      </c>
      <c r="D622" s="201">
        <v>8</v>
      </c>
      <c r="E622" s="323">
        <v>5270</v>
      </c>
      <c r="F622" s="324">
        <v>5454</v>
      </c>
      <c r="G622" s="325">
        <v>13688</v>
      </c>
      <c r="H622" s="324">
        <v>13808</v>
      </c>
      <c r="I622" s="323">
        <v>0</v>
      </c>
      <c r="J622" s="324">
        <v>0</v>
      </c>
      <c r="K622" s="325">
        <v>0</v>
      </c>
      <c r="L622" s="324">
        <v>0</v>
      </c>
      <c r="M622" s="323"/>
      <c r="N622" s="324"/>
      <c r="O622" s="325"/>
      <c r="P622" s="324"/>
      <c r="Q622" s="323"/>
      <c r="R622" s="324"/>
      <c r="S622" s="325"/>
      <c r="T622" s="324"/>
      <c r="U622" s="323"/>
      <c r="V622" s="324"/>
      <c r="W622" s="325"/>
      <c r="X622" s="324"/>
      <c r="Y622" s="323"/>
      <c r="Z622" s="324"/>
      <c r="AA622" s="325"/>
      <c r="AB622" s="324"/>
      <c r="AC622" s="323"/>
      <c r="AD622" s="324"/>
      <c r="AE622" s="325"/>
      <c r="AF622" s="324"/>
      <c r="AG622" s="323"/>
      <c r="AH622" s="324"/>
      <c r="AI622" s="325"/>
      <c r="AJ622" s="324"/>
      <c r="AK622" s="323"/>
      <c r="AL622" s="324"/>
      <c r="AM622" s="325"/>
      <c r="AN622" s="324"/>
    </row>
    <row r="623" spans="1:40">
      <c r="A623" s="199" t="s">
        <v>216</v>
      </c>
      <c r="B623" s="204" t="s">
        <v>845</v>
      </c>
      <c r="C623" s="199">
        <v>229355</v>
      </c>
      <c r="D623" s="201">
        <v>8</v>
      </c>
      <c r="E623" s="323">
        <v>2080</v>
      </c>
      <c r="F623" s="324">
        <v>2380</v>
      </c>
      <c r="G623" s="325">
        <v>3392</v>
      </c>
      <c r="H623" s="324">
        <v>3872</v>
      </c>
      <c r="I623" s="323">
        <v>0</v>
      </c>
      <c r="J623" s="324">
        <v>0</v>
      </c>
      <c r="K623" s="325">
        <v>0</v>
      </c>
      <c r="L623" s="324">
        <v>0</v>
      </c>
      <c r="M623" s="323"/>
      <c r="N623" s="324"/>
      <c r="O623" s="325"/>
      <c r="P623" s="324"/>
      <c r="Q623" s="323"/>
      <c r="R623" s="324"/>
      <c r="S623" s="325"/>
      <c r="T623" s="324"/>
      <c r="U623" s="323"/>
      <c r="V623" s="324"/>
      <c r="W623" s="325"/>
      <c r="X623" s="324"/>
      <c r="Y623" s="323"/>
      <c r="Z623" s="324"/>
      <c r="AA623" s="325"/>
      <c r="AB623" s="324"/>
      <c r="AC623" s="323"/>
      <c r="AD623" s="324"/>
      <c r="AE623" s="325"/>
      <c r="AF623" s="324"/>
      <c r="AG623" s="323"/>
      <c r="AH623" s="324"/>
      <c r="AI623" s="325"/>
      <c r="AJ623" s="324"/>
      <c r="AK623" s="323"/>
      <c r="AL623" s="324"/>
      <c r="AM623" s="325"/>
      <c r="AN623" s="324"/>
    </row>
    <row r="624" spans="1:40">
      <c r="A624" s="199" t="s">
        <v>216</v>
      </c>
      <c r="B624" s="204" t="s">
        <v>846</v>
      </c>
      <c r="C624" s="199">
        <v>222567</v>
      </c>
      <c r="D624" s="201">
        <v>9</v>
      </c>
      <c r="E624" s="323">
        <v>1216</v>
      </c>
      <c r="F624" s="324">
        <v>1336</v>
      </c>
      <c r="G624" s="325">
        <v>3650</v>
      </c>
      <c r="H624" s="324">
        <v>3676</v>
      </c>
      <c r="I624" s="323">
        <v>0</v>
      </c>
      <c r="J624" s="324">
        <v>0</v>
      </c>
      <c r="K624" s="325">
        <v>0</v>
      </c>
      <c r="L624" s="324">
        <v>0</v>
      </c>
      <c r="M624" s="323"/>
      <c r="N624" s="324"/>
      <c r="O624" s="325"/>
      <c r="P624" s="324"/>
      <c r="Q624" s="323"/>
      <c r="R624" s="324"/>
      <c r="S624" s="325"/>
      <c r="T624" s="324"/>
      <c r="U624" s="323"/>
      <c r="V624" s="324"/>
      <c r="W624" s="325"/>
      <c r="X624" s="324"/>
      <c r="Y624" s="323"/>
      <c r="Z624" s="324"/>
      <c r="AA624" s="325"/>
      <c r="AB624" s="324"/>
      <c r="AC624" s="323"/>
      <c r="AD624" s="324"/>
      <c r="AE624" s="325"/>
      <c r="AF624" s="324"/>
      <c r="AG624" s="323"/>
      <c r="AH624" s="324"/>
      <c r="AI624" s="325"/>
      <c r="AJ624" s="324"/>
      <c r="AK624" s="323"/>
      <c r="AL624" s="324"/>
      <c r="AM624" s="325"/>
      <c r="AN624" s="324"/>
    </row>
    <row r="625" spans="1:40">
      <c r="A625" s="199" t="s">
        <v>216</v>
      </c>
      <c r="B625" s="204" t="s">
        <v>847</v>
      </c>
      <c r="C625" s="199">
        <v>222822</v>
      </c>
      <c r="D625" s="201">
        <v>9</v>
      </c>
      <c r="E625" s="323">
        <v>1280</v>
      </c>
      <c r="F625" s="324">
        <v>1388</v>
      </c>
      <c r="G625" s="325">
        <v>2640</v>
      </c>
      <c r="H625" s="324">
        <v>2880</v>
      </c>
      <c r="I625" s="323">
        <v>0</v>
      </c>
      <c r="J625" s="324">
        <v>0</v>
      </c>
      <c r="K625" s="325">
        <v>0</v>
      </c>
      <c r="L625" s="324">
        <v>0</v>
      </c>
      <c r="M625" s="323"/>
      <c r="N625" s="324"/>
      <c r="O625" s="325"/>
      <c r="P625" s="324"/>
      <c r="Q625" s="323"/>
      <c r="R625" s="324"/>
      <c r="S625" s="325"/>
      <c r="T625" s="324"/>
      <c r="U625" s="323"/>
      <c r="V625" s="324"/>
      <c r="W625" s="325"/>
      <c r="X625" s="324"/>
      <c r="Y625" s="323"/>
      <c r="Z625" s="324"/>
      <c r="AA625" s="325"/>
      <c r="AB625" s="324"/>
      <c r="AC625" s="323"/>
      <c r="AD625" s="324"/>
      <c r="AE625" s="325"/>
      <c r="AF625" s="324"/>
      <c r="AG625" s="323"/>
      <c r="AH625" s="324"/>
      <c r="AI625" s="325"/>
      <c r="AJ625" s="324"/>
      <c r="AK625" s="323"/>
      <c r="AL625" s="324"/>
      <c r="AM625" s="325"/>
      <c r="AN625" s="324"/>
    </row>
    <row r="626" spans="1:40">
      <c r="A626" s="199" t="s">
        <v>216</v>
      </c>
      <c r="B626" s="204" t="s">
        <v>849</v>
      </c>
      <c r="C626" s="199">
        <v>223773</v>
      </c>
      <c r="D626" s="201">
        <v>9</v>
      </c>
      <c r="E626" s="323">
        <v>1170</v>
      </c>
      <c r="F626" s="324">
        <v>1230</v>
      </c>
      <c r="G626" s="325">
        <v>3450</v>
      </c>
      <c r="H626" s="324">
        <v>3630</v>
      </c>
      <c r="I626" s="323">
        <v>0</v>
      </c>
      <c r="J626" s="324">
        <v>0</v>
      </c>
      <c r="K626" s="325">
        <v>0</v>
      </c>
      <c r="L626" s="324">
        <v>0</v>
      </c>
      <c r="M626" s="323"/>
      <c r="N626" s="324"/>
      <c r="O626" s="325"/>
      <c r="P626" s="324"/>
      <c r="Q626" s="323"/>
      <c r="R626" s="324"/>
      <c r="S626" s="325"/>
      <c r="T626" s="324"/>
      <c r="U626" s="323"/>
      <c r="V626" s="324"/>
      <c r="W626" s="325"/>
      <c r="X626" s="324"/>
      <c r="Y626" s="323"/>
      <c r="Z626" s="324"/>
      <c r="AA626" s="325"/>
      <c r="AB626" s="324"/>
      <c r="AC626" s="323"/>
      <c r="AD626" s="324"/>
      <c r="AE626" s="325"/>
      <c r="AF626" s="324"/>
      <c r="AG626" s="323"/>
      <c r="AH626" s="324"/>
      <c r="AI626" s="325"/>
      <c r="AJ626" s="324"/>
      <c r="AK626" s="323"/>
      <c r="AL626" s="324"/>
      <c r="AM626" s="325"/>
      <c r="AN626" s="324"/>
    </row>
    <row r="627" spans="1:40">
      <c r="A627" s="199" t="s">
        <v>216</v>
      </c>
      <c r="B627" s="204" t="s">
        <v>850</v>
      </c>
      <c r="C627" s="199">
        <v>223898</v>
      </c>
      <c r="D627" s="201">
        <v>9</v>
      </c>
      <c r="E627" s="323">
        <v>2800</v>
      </c>
      <c r="F627" s="324">
        <v>3120</v>
      </c>
      <c r="G627" s="325">
        <v>3076</v>
      </c>
      <c r="H627" s="324">
        <v>3226</v>
      </c>
      <c r="I627" s="323">
        <v>0</v>
      </c>
      <c r="J627" s="324">
        <v>0</v>
      </c>
      <c r="K627" s="325">
        <v>0</v>
      </c>
      <c r="L627" s="324">
        <v>0</v>
      </c>
      <c r="M627" s="323"/>
      <c r="N627" s="324"/>
      <c r="O627" s="325"/>
      <c r="P627" s="324"/>
      <c r="Q627" s="323"/>
      <c r="R627" s="324"/>
      <c r="S627" s="325"/>
      <c r="T627" s="324"/>
      <c r="U627" s="323"/>
      <c r="V627" s="324"/>
      <c r="W627" s="325"/>
      <c r="X627" s="324"/>
      <c r="Y627" s="323"/>
      <c r="Z627" s="324"/>
      <c r="AA627" s="325"/>
      <c r="AB627" s="324"/>
      <c r="AC627" s="323"/>
      <c r="AD627" s="324"/>
      <c r="AE627" s="325"/>
      <c r="AF627" s="324"/>
      <c r="AG627" s="323"/>
      <c r="AH627" s="324"/>
      <c r="AI627" s="325"/>
      <c r="AJ627" s="324"/>
      <c r="AK627" s="323"/>
      <c r="AL627" s="324"/>
      <c r="AM627" s="325"/>
      <c r="AN627" s="324"/>
    </row>
    <row r="628" spans="1:40">
      <c r="A628" s="199" t="s">
        <v>216</v>
      </c>
      <c r="B628" s="204" t="s">
        <v>851</v>
      </c>
      <c r="C628" s="199">
        <v>223320</v>
      </c>
      <c r="D628" s="201">
        <v>9</v>
      </c>
      <c r="E628" s="323">
        <v>2470</v>
      </c>
      <c r="F628" s="324">
        <v>3518</v>
      </c>
      <c r="G628" s="325">
        <v>4440</v>
      </c>
      <c r="H628" s="324">
        <v>4530</v>
      </c>
      <c r="I628" s="323">
        <v>0</v>
      </c>
      <c r="J628" s="324">
        <v>0</v>
      </c>
      <c r="K628" s="325">
        <v>0</v>
      </c>
      <c r="L628" s="324">
        <v>0</v>
      </c>
      <c r="M628" s="323"/>
      <c r="N628" s="324"/>
      <c r="O628" s="325"/>
      <c r="P628" s="324"/>
      <c r="Q628" s="323"/>
      <c r="R628" s="324"/>
      <c r="S628" s="325"/>
      <c r="T628" s="324"/>
      <c r="U628" s="323"/>
      <c r="V628" s="324"/>
      <c r="W628" s="325"/>
      <c r="X628" s="324"/>
      <c r="Y628" s="323"/>
      <c r="Z628" s="324"/>
      <c r="AA628" s="325"/>
      <c r="AB628" s="324"/>
      <c r="AC628" s="323"/>
      <c r="AD628" s="324"/>
      <c r="AE628" s="325"/>
      <c r="AF628" s="324"/>
      <c r="AG628" s="323"/>
      <c r="AH628" s="324"/>
      <c r="AI628" s="325"/>
      <c r="AJ628" s="324"/>
      <c r="AK628" s="323"/>
      <c r="AL628" s="324"/>
      <c r="AM628" s="325"/>
      <c r="AN628" s="324"/>
    </row>
    <row r="629" spans="1:40">
      <c r="A629" s="199" t="s">
        <v>216</v>
      </c>
      <c r="B629" s="219" t="s">
        <v>852</v>
      </c>
      <c r="C629" s="220">
        <v>226408</v>
      </c>
      <c r="D629" s="203">
        <v>9</v>
      </c>
      <c r="E629" s="323">
        <v>1106</v>
      </c>
      <c r="F629" s="324">
        <v>1166</v>
      </c>
      <c r="G629" s="325">
        <v>3086</v>
      </c>
      <c r="H629" s="324">
        <v>3356</v>
      </c>
      <c r="I629" s="323">
        <v>0</v>
      </c>
      <c r="J629" s="324">
        <v>0</v>
      </c>
      <c r="K629" s="325">
        <v>0</v>
      </c>
      <c r="L629" s="324">
        <v>0</v>
      </c>
      <c r="M629" s="323"/>
      <c r="N629" s="324"/>
      <c r="O629" s="325"/>
      <c r="P629" s="324"/>
      <c r="Q629" s="323"/>
      <c r="R629" s="324"/>
      <c r="S629" s="325"/>
      <c r="T629" s="324"/>
      <c r="U629" s="323"/>
      <c r="V629" s="324"/>
      <c r="W629" s="325"/>
      <c r="X629" s="324"/>
      <c r="Y629" s="323"/>
      <c r="Z629" s="324"/>
      <c r="AA629" s="325"/>
      <c r="AB629" s="324"/>
      <c r="AC629" s="323"/>
      <c r="AD629" s="324"/>
      <c r="AE629" s="325"/>
      <c r="AF629" s="324"/>
      <c r="AG629" s="323"/>
      <c r="AH629" s="324"/>
      <c r="AI629" s="325"/>
      <c r="AJ629" s="324"/>
      <c r="AK629" s="323"/>
      <c r="AL629" s="324"/>
      <c r="AM629" s="325"/>
      <c r="AN629" s="324"/>
    </row>
    <row r="630" spans="1:40">
      <c r="A630" s="199" t="s">
        <v>216</v>
      </c>
      <c r="B630" s="237" t="s">
        <v>853</v>
      </c>
      <c r="C630" s="199">
        <v>224615</v>
      </c>
      <c r="D630" s="201">
        <v>9</v>
      </c>
      <c r="E630" s="323">
        <v>1170</v>
      </c>
      <c r="F630" s="324">
        <v>1230</v>
      </c>
      <c r="G630" s="325">
        <v>3450</v>
      </c>
      <c r="H630" s="324">
        <v>3630</v>
      </c>
      <c r="I630" s="323">
        <v>0</v>
      </c>
      <c r="J630" s="324">
        <v>0</v>
      </c>
      <c r="K630" s="325">
        <v>0</v>
      </c>
      <c r="L630" s="324">
        <v>0</v>
      </c>
      <c r="M630" s="323"/>
      <c r="N630" s="324"/>
      <c r="O630" s="325"/>
      <c r="P630" s="324"/>
      <c r="Q630" s="323"/>
      <c r="R630" s="324"/>
      <c r="S630" s="325"/>
      <c r="T630" s="324"/>
      <c r="U630" s="323"/>
      <c r="V630" s="324"/>
      <c r="W630" s="325"/>
      <c r="X630" s="324"/>
      <c r="Y630" s="323"/>
      <c r="Z630" s="324"/>
      <c r="AA630" s="325"/>
      <c r="AB630" s="324"/>
      <c r="AC630" s="323"/>
      <c r="AD630" s="324"/>
      <c r="AE630" s="325"/>
      <c r="AF630" s="324"/>
      <c r="AG630" s="323"/>
      <c r="AH630" s="324"/>
      <c r="AI630" s="325"/>
      <c r="AJ630" s="324"/>
      <c r="AK630" s="323"/>
      <c r="AL630" s="324"/>
      <c r="AM630" s="325"/>
      <c r="AN630" s="324"/>
    </row>
    <row r="631" spans="1:40">
      <c r="A631" s="199" t="s">
        <v>216</v>
      </c>
      <c r="B631" s="204" t="s">
        <v>854</v>
      </c>
      <c r="C631" s="199">
        <v>225070</v>
      </c>
      <c r="D631" s="201">
        <v>9</v>
      </c>
      <c r="E631" s="323">
        <v>1472</v>
      </c>
      <c r="F631" s="324">
        <v>1830</v>
      </c>
      <c r="G631" s="325">
        <v>3414</v>
      </c>
      <c r="H631" s="324">
        <v>3714</v>
      </c>
      <c r="I631" s="323">
        <v>0</v>
      </c>
      <c r="J631" s="324">
        <v>0</v>
      </c>
      <c r="K631" s="325">
        <v>0</v>
      </c>
      <c r="L631" s="324">
        <v>0</v>
      </c>
      <c r="M631" s="323"/>
      <c r="N631" s="324"/>
      <c r="O631" s="325"/>
      <c r="P631" s="324"/>
      <c r="Q631" s="323"/>
      <c r="R631" s="324"/>
      <c r="S631" s="325"/>
      <c r="T631" s="324"/>
      <c r="U631" s="323"/>
      <c r="V631" s="324"/>
      <c r="W631" s="325"/>
      <c r="X631" s="324"/>
      <c r="Y631" s="323"/>
      <c r="Z631" s="324"/>
      <c r="AA631" s="325"/>
      <c r="AB631" s="324"/>
      <c r="AC631" s="323"/>
      <c r="AD631" s="324"/>
      <c r="AE631" s="325"/>
      <c r="AF631" s="324"/>
      <c r="AG631" s="323"/>
      <c r="AH631" s="324"/>
      <c r="AI631" s="325"/>
      <c r="AJ631" s="324"/>
      <c r="AK631" s="323"/>
      <c r="AL631" s="324"/>
      <c r="AM631" s="325"/>
      <c r="AN631" s="324"/>
    </row>
    <row r="632" spans="1:40">
      <c r="A632" s="199" t="s">
        <v>216</v>
      </c>
      <c r="B632" s="204" t="s">
        <v>855</v>
      </c>
      <c r="C632" s="199">
        <v>225371</v>
      </c>
      <c r="D632" s="201">
        <v>9</v>
      </c>
      <c r="E632" s="323">
        <v>1702</v>
      </c>
      <c r="F632" s="324">
        <v>1776</v>
      </c>
      <c r="G632" s="325">
        <v>2500</v>
      </c>
      <c r="H632" s="324">
        <v>2710</v>
      </c>
      <c r="I632" s="323">
        <v>0</v>
      </c>
      <c r="J632" s="324">
        <v>0</v>
      </c>
      <c r="K632" s="325">
        <v>0</v>
      </c>
      <c r="L632" s="324">
        <v>0</v>
      </c>
      <c r="M632" s="323"/>
      <c r="N632" s="324"/>
      <c r="O632" s="325"/>
      <c r="P632" s="324"/>
      <c r="Q632" s="323"/>
      <c r="R632" s="324"/>
      <c r="S632" s="325"/>
      <c r="T632" s="324"/>
      <c r="U632" s="323"/>
      <c r="V632" s="324"/>
      <c r="W632" s="325"/>
      <c r="X632" s="324"/>
      <c r="Y632" s="323"/>
      <c r="Z632" s="324"/>
      <c r="AA632" s="325"/>
      <c r="AB632" s="324"/>
      <c r="AC632" s="323"/>
      <c r="AD632" s="324"/>
      <c r="AE632" s="325"/>
      <c r="AF632" s="324"/>
      <c r="AG632" s="323"/>
      <c r="AH632" s="324"/>
      <c r="AI632" s="325"/>
      <c r="AJ632" s="324"/>
      <c r="AK632" s="323"/>
      <c r="AL632" s="324"/>
      <c r="AM632" s="325"/>
      <c r="AN632" s="324"/>
    </row>
    <row r="633" spans="1:40">
      <c r="A633" s="199" t="s">
        <v>216</v>
      </c>
      <c r="B633" s="204" t="s">
        <v>856</v>
      </c>
      <c r="C633" s="199">
        <v>225520</v>
      </c>
      <c r="D633" s="201">
        <v>9</v>
      </c>
      <c r="E633" s="323">
        <v>1752</v>
      </c>
      <c r="F633" s="324">
        <v>1752</v>
      </c>
      <c r="G633" s="325">
        <v>2772</v>
      </c>
      <c r="H633" s="324">
        <v>2832</v>
      </c>
      <c r="I633" s="323">
        <v>0</v>
      </c>
      <c r="J633" s="324">
        <v>0</v>
      </c>
      <c r="K633" s="325">
        <v>0</v>
      </c>
      <c r="L633" s="324">
        <v>0</v>
      </c>
      <c r="M633" s="323"/>
      <c r="N633" s="324"/>
      <c r="O633" s="325"/>
      <c r="P633" s="324"/>
      <c r="Q633" s="323"/>
      <c r="R633" s="324"/>
      <c r="S633" s="325"/>
      <c r="T633" s="324"/>
      <c r="U633" s="323"/>
      <c r="V633" s="324"/>
      <c r="W633" s="325"/>
      <c r="X633" s="324"/>
      <c r="Y633" s="323"/>
      <c r="Z633" s="324"/>
      <c r="AA633" s="325"/>
      <c r="AB633" s="324"/>
      <c r="AC633" s="323"/>
      <c r="AD633" s="324"/>
      <c r="AE633" s="325"/>
      <c r="AF633" s="324"/>
      <c r="AG633" s="323"/>
      <c r="AH633" s="324"/>
      <c r="AI633" s="325"/>
      <c r="AJ633" s="324"/>
      <c r="AK633" s="323"/>
      <c r="AL633" s="324"/>
      <c r="AM633" s="325"/>
      <c r="AN633" s="324"/>
    </row>
    <row r="634" spans="1:40">
      <c r="A634" s="199" t="s">
        <v>216</v>
      </c>
      <c r="B634" s="219" t="s">
        <v>857</v>
      </c>
      <c r="C634" s="199">
        <v>226019</v>
      </c>
      <c r="D634" s="201">
        <v>9</v>
      </c>
      <c r="E634" s="323">
        <v>1498</v>
      </c>
      <c r="F634" s="324">
        <v>1482</v>
      </c>
      <c r="G634" s="325">
        <v>3810</v>
      </c>
      <c r="H634" s="324">
        <v>3960</v>
      </c>
      <c r="I634" s="323">
        <v>0</v>
      </c>
      <c r="J634" s="324">
        <v>0</v>
      </c>
      <c r="K634" s="325">
        <v>0</v>
      </c>
      <c r="L634" s="324">
        <v>0</v>
      </c>
      <c r="M634" s="323"/>
      <c r="N634" s="324"/>
      <c r="O634" s="325"/>
      <c r="P634" s="324"/>
      <c r="Q634" s="323"/>
      <c r="R634" s="324"/>
      <c r="S634" s="325"/>
      <c r="T634" s="324"/>
      <c r="U634" s="323"/>
      <c r="V634" s="324"/>
      <c r="W634" s="325"/>
      <c r="X634" s="324"/>
      <c r="Y634" s="323"/>
      <c r="Z634" s="324"/>
      <c r="AA634" s="325"/>
      <c r="AB634" s="324"/>
      <c r="AC634" s="323"/>
      <c r="AD634" s="324"/>
      <c r="AE634" s="325"/>
      <c r="AF634" s="324"/>
      <c r="AG634" s="323"/>
      <c r="AH634" s="324"/>
      <c r="AI634" s="325"/>
      <c r="AJ634" s="324"/>
      <c r="AK634" s="323"/>
      <c r="AL634" s="324"/>
      <c r="AM634" s="325"/>
      <c r="AN634" s="324"/>
    </row>
    <row r="635" spans="1:40">
      <c r="A635" s="199" t="s">
        <v>216</v>
      </c>
      <c r="B635" s="222" t="s">
        <v>858</v>
      </c>
      <c r="C635" s="223">
        <v>441760</v>
      </c>
      <c r="D635" s="224">
        <v>9</v>
      </c>
      <c r="E635" s="323">
        <v>3810</v>
      </c>
      <c r="F635" s="324">
        <v>3980</v>
      </c>
      <c r="G635" s="325">
        <v>12240</v>
      </c>
      <c r="H635" s="324">
        <v>12230</v>
      </c>
      <c r="I635" s="323">
        <v>0</v>
      </c>
      <c r="J635" s="324">
        <v>0</v>
      </c>
      <c r="K635" s="325">
        <v>0</v>
      </c>
      <c r="L635" s="324">
        <v>0</v>
      </c>
      <c r="M635" s="323"/>
      <c r="N635" s="324"/>
      <c r="O635" s="325"/>
      <c r="P635" s="324"/>
      <c r="Q635" s="323"/>
      <c r="R635" s="324"/>
      <c r="S635" s="325"/>
      <c r="T635" s="324"/>
      <c r="U635" s="323"/>
      <c r="V635" s="324"/>
      <c r="W635" s="325"/>
      <c r="X635" s="324"/>
      <c r="Y635" s="323"/>
      <c r="Z635" s="324"/>
      <c r="AA635" s="325"/>
      <c r="AB635" s="324"/>
      <c r="AC635" s="323"/>
      <c r="AD635" s="324"/>
      <c r="AE635" s="325"/>
      <c r="AF635" s="324"/>
      <c r="AG635" s="323"/>
      <c r="AH635" s="324"/>
      <c r="AI635" s="325"/>
      <c r="AJ635" s="324"/>
      <c r="AK635" s="323"/>
      <c r="AL635" s="324"/>
      <c r="AM635" s="325"/>
      <c r="AN635" s="324"/>
    </row>
    <row r="636" spans="1:40">
      <c r="A636" s="199" t="s">
        <v>216</v>
      </c>
      <c r="B636" s="219" t="s">
        <v>859</v>
      </c>
      <c r="C636" s="220">
        <v>226204</v>
      </c>
      <c r="D636" s="203">
        <v>9</v>
      </c>
      <c r="E636" s="323">
        <v>1332</v>
      </c>
      <c r="F636" s="324">
        <v>1332</v>
      </c>
      <c r="G636" s="325">
        <v>3102</v>
      </c>
      <c r="H636" s="324">
        <v>3102</v>
      </c>
      <c r="I636" s="323">
        <v>0</v>
      </c>
      <c r="J636" s="324">
        <v>0</v>
      </c>
      <c r="K636" s="325">
        <v>0</v>
      </c>
      <c r="L636" s="324">
        <v>0</v>
      </c>
      <c r="M636" s="323"/>
      <c r="N636" s="324"/>
      <c r="O636" s="325"/>
      <c r="P636" s="324"/>
      <c r="Q636" s="323"/>
      <c r="R636" s="324"/>
      <c r="S636" s="325"/>
      <c r="T636" s="324"/>
      <c r="U636" s="323"/>
      <c r="V636" s="324"/>
      <c r="W636" s="325"/>
      <c r="X636" s="324"/>
      <c r="Y636" s="323"/>
      <c r="Z636" s="324"/>
      <c r="AA636" s="325"/>
      <c r="AB636" s="324"/>
      <c r="AC636" s="323"/>
      <c r="AD636" s="324"/>
      <c r="AE636" s="325"/>
      <c r="AF636" s="324"/>
      <c r="AG636" s="323"/>
      <c r="AH636" s="324"/>
      <c r="AI636" s="325"/>
      <c r="AJ636" s="324"/>
      <c r="AK636" s="323"/>
      <c r="AL636" s="324"/>
      <c r="AM636" s="325"/>
      <c r="AN636" s="324"/>
    </row>
    <row r="637" spans="1:40">
      <c r="A637" s="199" t="s">
        <v>216</v>
      </c>
      <c r="B637" s="219" t="s">
        <v>861</v>
      </c>
      <c r="C637" s="220">
        <v>226930</v>
      </c>
      <c r="D637" s="203">
        <v>9</v>
      </c>
      <c r="E637" s="323">
        <v>1170</v>
      </c>
      <c r="F637" s="324">
        <v>1230</v>
      </c>
      <c r="G637" s="325">
        <v>3450</v>
      </c>
      <c r="H637" s="324">
        <v>3630</v>
      </c>
      <c r="I637" s="323">
        <v>0</v>
      </c>
      <c r="J637" s="324">
        <v>0</v>
      </c>
      <c r="K637" s="325">
        <v>0</v>
      </c>
      <c r="L637" s="324">
        <v>0</v>
      </c>
      <c r="M637" s="323"/>
      <c r="N637" s="324"/>
      <c r="O637" s="325"/>
      <c r="P637" s="324"/>
      <c r="Q637" s="323"/>
      <c r="R637" s="324"/>
      <c r="S637" s="325"/>
      <c r="T637" s="324"/>
      <c r="U637" s="323"/>
      <c r="V637" s="324"/>
      <c r="W637" s="325"/>
      <c r="X637" s="324"/>
      <c r="Y637" s="323"/>
      <c r="Z637" s="324"/>
      <c r="AA637" s="325"/>
      <c r="AB637" s="324"/>
      <c r="AC637" s="323"/>
      <c r="AD637" s="324"/>
      <c r="AE637" s="325"/>
      <c r="AF637" s="324"/>
      <c r="AG637" s="323"/>
      <c r="AH637" s="324"/>
      <c r="AI637" s="325"/>
      <c r="AJ637" s="324"/>
      <c r="AK637" s="323"/>
      <c r="AL637" s="324"/>
      <c r="AM637" s="325"/>
      <c r="AN637" s="324"/>
    </row>
    <row r="638" spans="1:40">
      <c r="A638" s="199" t="s">
        <v>216</v>
      </c>
      <c r="B638" s="237" t="s">
        <v>862</v>
      </c>
      <c r="C638" s="199">
        <v>224110</v>
      </c>
      <c r="D638" s="201">
        <v>9</v>
      </c>
      <c r="E638" s="323">
        <v>1472</v>
      </c>
      <c r="F638" s="324">
        <v>1530</v>
      </c>
      <c r="G638" s="325">
        <v>3450</v>
      </c>
      <c r="H638" s="324">
        <v>3450</v>
      </c>
      <c r="I638" s="323">
        <v>0</v>
      </c>
      <c r="J638" s="324">
        <v>0</v>
      </c>
      <c r="K638" s="325">
        <v>0</v>
      </c>
      <c r="L638" s="324">
        <v>0</v>
      </c>
      <c r="M638" s="323"/>
      <c r="N638" s="324"/>
      <c r="O638" s="325"/>
      <c r="P638" s="324"/>
      <c r="Q638" s="323"/>
      <c r="R638" s="324"/>
      <c r="S638" s="325"/>
      <c r="T638" s="324"/>
      <c r="U638" s="323"/>
      <c r="V638" s="324"/>
      <c r="W638" s="325"/>
      <c r="X638" s="324"/>
      <c r="Y638" s="323"/>
      <c r="Z638" s="324"/>
      <c r="AA638" s="325"/>
      <c r="AB638" s="324"/>
      <c r="AC638" s="323"/>
      <c r="AD638" s="324"/>
      <c r="AE638" s="325"/>
      <c r="AF638" s="324"/>
      <c r="AG638" s="323"/>
      <c r="AH638" s="324"/>
      <c r="AI638" s="325"/>
      <c r="AJ638" s="324"/>
      <c r="AK638" s="323"/>
      <c r="AL638" s="324"/>
      <c r="AM638" s="325"/>
      <c r="AN638" s="324"/>
    </row>
    <row r="639" spans="1:40">
      <c r="A639" s="199" t="s">
        <v>216</v>
      </c>
      <c r="B639" s="204" t="s">
        <v>863</v>
      </c>
      <c r="C639" s="199">
        <v>227304</v>
      </c>
      <c r="D639" s="201">
        <v>9</v>
      </c>
      <c r="E639" s="323">
        <v>1624</v>
      </c>
      <c r="F639" s="324">
        <v>1806</v>
      </c>
      <c r="G639" s="325">
        <v>2790</v>
      </c>
      <c r="H639" s="324">
        <v>3240</v>
      </c>
      <c r="I639" s="323">
        <v>0</v>
      </c>
      <c r="J639" s="324">
        <v>0</v>
      </c>
      <c r="K639" s="323">
        <v>0</v>
      </c>
      <c r="L639" s="324">
        <v>0</v>
      </c>
      <c r="M639" s="323"/>
      <c r="N639" s="324"/>
      <c r="O639" s="325"/>
      <c r="P639" s="324"/>
      <c r="Q639" s="323"/>
      <c r="R639" s="324"/>
      <c r="S639" s="325"/>
      <c r="T639" s="324"/>
      <c r="U639" s="323"/>
      <c r="V639" s="324"/>
      <c r="W639" s="325"/>
      <c r="X639" s="324"/>
      <c r="Y639" s="323"/>
      <c r="Z639" s="324"/>
      <c r="AA639" s="325"/>
      <c r="AB639" s="324"/>
      <c r="AC639" s="323"/>
      <c r="AD639" s="324"/>
      <c r="AE639" s="325"/>
      <c r="AF639" s="324"/>
      <c r="AG639" s="323"/>
      <c r="AH639" s="324"/>
      <c r="AI639" s="325"/>
      <c r="AJ639" s="324"/>
      <c r="AK639" s="323"/>
      <c r="AL639" s="324"/>
      <c r="AM639" s="325"/>
      <c r="AN639" s="324"/>
    </row>
    <row r="640" spans="1:40">
      <c r="A640" s="199" t="s">
        <v>216</v>
      </c>
      <c r="B640" s="204" t="s">
        <v>864</v>
      </c>
      <c r="C640" s="199">
        <v>227401</v>
      </c>
      <c r="D640" s="201">
        <v>9</v>
      </c>
      <c r="E640" s="323">
        <v>2190</v>
      </c>
      <c r="F640" s="324">
        <v>2280</v>
      </c>
      <c r="G640" s="325">
        <v>3396</v>
      </c>
      <c r="H640" s="324">
        <v>3480</v>
      </c>
      <c r="I640" s="323">
        <v>0</v>
      </c>
      <c r="J640" s="324">
        <v>0</v>
      </c>
      <c r="K640" s="323">
        <v>0</v>
      </c>
      <c r="L640" s="324">
        <v>0</v>
      </c>
      <c r="M640" s="323"/>
      <c r="N640" s="324"/>
      <c r="O640" s="325"/>
      <c r="P640" s="324"/>
      <c r="Q640" s="323"/>
      <c r="R640" s="324"/>
      <c r="S640" s="325"/>
      <c r="T640" s="324"/>
      <c r="U640" s="323"/>
      <c r="V640" s="324"/>
      <c r="W640" s="325"/>
      <c r="X640" s="324"/>
      <c r="Y640" s="323"/>
      <c r="Z640" s="324"/>
      <c r="AA640" s="325"/>
      <c r="AB640" s="324"/>
      <c r="AC640" s="323"/>
      <c r="AD640" s="324"/>
      <c r="AE640" s="325"/>
      <c r="AF640" s="324"/>
      <c r="AG640" s="323"/>
      <c r="AH640" s="324"/>
      <c r="AI640" s="325"/>
      <c r="AJ640" s="324"/>
      <c r="AK640" s="323"/>
      <c r="AL640" s="324"/>
      <c r="AM640" s="325"/>
      <c r="AN640" s="324"/>
    </row>
    <row r="641" spans="1:40">
      <c r="A641" s="199" t="s">
        <v>216</v>
      </c>
      <c r="B641" s="204" t="s">
        <v>865</v>
      </c>
      <c r="C641" s="199">
        <v>228316</v>
      </c>
      <c r="D641" s="201">
        <v>9</v>
      </c>
      <c r="E641" s="323">
        <v>1980</v>
      </c>
      <c r="F641" s="324">
        <v>2070</v>
      </c>
      <c r="G641" s="325">
        <v>3622</v>
      </c>
      <c r="H641" s="324">
        <v>3622</v>
      </c>
      <c r="I641" s="323">
        <v>0</v>
      </c>
      <c r="J641" s="324">
        <v>0</v>
      </c>
      <c r="K641" s="323">
        <v>0</v>
      </c>
      <c r="L641" s="324">
        <v>0</v>
      </c>
      <c r="M641" s="323"/>
      <c r="N641" s="324"/>
      <c r="O641" s="325"/>
      <c r="P641" s="324"/>
      <c r="Q641" s="323"/>
      <c r="R641" s="324"/>
      <c r="S641" s="325"/>
      <c r="T641" s="324"/>
      <c r="U641" s="323"/>
      <c r="V641" s="324"/>
      <c r="W641" s="325"/>
      <c r="X641" s="324"/>
      <c r="Y641" s="323"/>
      <c r="Z641" s="324"/>
      <c r="AA641" s="325"/>
      <c r="AB641" s="324"/>
      <c r="AC641" s="323"/>
      <c r="AD641" s="324"/>
      <c r="AE641" s="325"/>
      <c r="AF641" s="324"/>
      <c r="AG641" s="323"/>
      <c r="AH641" s="324"/>
      <c r="AI641" s="325"/>
      <c r="AJ641" s="324"/>
      <c r="AK641" s="323"/>
      <c r="AL641" s="324"/>
      <c r="AM641" s="325"/>
      <c r="AN641" s="324"/>
    </row>
    <row r="642" spans="1:40">
      <c r="A642" s="199" t="s">
        <v>216</v>
      </c>
      <c r="B642" s="204" t="s">
        <v>866</v>
      </c>
      <c r="C642" s="199">
        <v>228608</v>
      </c>
      <c r="D642" s="201">
        <v>9</v>
      </c>
      <c r="E642" s="323">
        <v>2178</v>
      </c>
      <c r="F642" s="324">
        <v>2328</v>
      </c>
      <c r="G642" s="325">
        <v>4801</v>
      </c>
      <c r="H642" s="324">
        <v>5044</v>
      </c>
      <c r="I642" s="323">
        <v>0</v>
      </c>
      <c r="J642" s="324">
        <v>0</v>
      </c>
      <c r="K642" s="323">
        <v>0</v>
      </c>
      <c r="L642" s="324">
        <v>0</v>
      </c>
      <c r="M642" s="323"/>
      <c r="N642" s="324"/>
      <c r="O642" s="325"/>
      <c r="P642" s="324"/>
      <c r="Q642" s="323"/>
      <c r="R642" s="324"/>
      <c r="S642" s="325"/>
      <c r="T642" s="324"/>
      <c r="U642" s="323"/>
      <c r="V642" s="324"/>
      <c r="W642" s="325"/>
      <c r="X642" s="324"/>
      <c r="Y642" s="323"/>
      <c r="Z642" s="324"/>
      <c r="AA642" s="325"/>
      <c r="AB642" s="324"/>
      <c r="AC642" s="323"/>
      <c r="AD642" s="324"/>
      <c r="AE642" s="325"/>
      <c r="AF642" s="324"/>
      <c r="AG642" s="323"/>
      <c r="AH642" s="324"/>
      <c r="AI642" s="325"/>
      <c r="AJ642" s="324"/>
      <c r="AK642" s="323"/>
      <c r="AL642" s="324"/>
      <c r="AM642" s="325"/>
      <c r="AN642" s="324"/>
    </row>
    <row r="643" spans="1:40">
      <c r="A643" s="199" t="s">
        <v>216</v>
      </c>
      <c r="B643" s="204" t="s">
        <v>867</v>
      </c>
      <c r="C643" s="199">
        <v>228699</v>
      </c>
      <c r="D643" s="201">
        <v>9</v>
      </c>
      <c r="E643" s="323">
        <v>1180</v>
      </c>
      <c r="F643" s="324">
        <v>1360</v>
      </c>
      <c r="G643" s="325">
        <v>2430</v>
      </c>
      <c r="H643" s="324">
        <v>2550</v>
      </c>
      <c r="I643" s="323">
        <v>0</v>
      </c>
      <c r="J643" s="324">
        <v>0</v>
      </c>
      <c r="K643" s="323">
        <v>0</v>
      </c>
      <c r="L643" s="324">
        <v>0</v>
      </c>
      <c r="M643" s="323"/>
      <c r="N643" s="324"/>
      <c r="O643" s="325"/>
      <c r="P643" s="324"/>
      <c r="Q643" s="323"/>
      <c r="R643" s="324"/>
      <c r="S643" s="325"/>
      <c r="T643" s="324"/>
      <c r="U643" s="323"/>
      <c r="V643" s="324"/>
      <c r="W643" s="325"/>
      <c r="X643" s="324"/>
      <c r="Y643" s="323"/>
      <c r="Z643" s="324"/>
      <c r="AA643" s="325"/>
      <c r="AB643" s="324"/>
      <c r="AC643" s="323"/>
      <c r="AD643" s="324"/>
      <c r="AE643" s="325"/>
      <c r="AF643" s="324"/>
      <c r="AG643" s="323"/>
      <c r="AH643" s="324"/>
      <c r="AI643" s="325"/>
      <c r="AJ643" s="324"/>
      <c r="AK643" s="323"/>
      <c r="AL643" s="324"/>
      <c r="AM643" s="325"/>
      <c r="AN643" s="324"/>
    </row>
    <row r="644" spans="1:40">
      <c r="A644" s="199" t="s">
        <v>216</v>
      </c>
      <c r="B644" s="204" t="s">
        <v>868</v>
      </c>
      <c r="C644" s="199">
        <v>229319</v>
      </c>
      <c r="D644" s="201">
        <v>9</v>
      </c>
      <c r="E644" s="323">
        <v>2850</v>
      </c>
      <c r="F644" s="324">
        <v>3030</v>
      </c>
      <c r="G644" s="325">
        <v>7324</v>
      </c>
      <c r="H644" s="324">
        <v>7492</v>
      </c>
      <c r="I644" s="323">
        <v>0</v>
      </c>
      <c r="J644" s="324">
        <v>0</v>
      </c>
      <c r="K644" s="323">
        <v>0</v>
      </c>
      <c r="L644" s="324">
        <v>0</v>
      </c>
      <c r="M644" s="323"/>
      <c r="N644" s="324"/>
      <c r="O644" s="325"/>
      <c r="P644" s="324"/>
      <c r="Q644" s="323"/>
      <c r="R644" s="324"/>
      <c r="S644" s="325"/>
      <c r="T644" s="324"/>
      <c r="U644" s="323"/>
      <c r="V644" s="324"/>
      <c r="W644" s="325"/>
      <c r="X644" s="324"/>
      <c r="Y644" s="323"/>
      <c r="Z644" s="324"/>
      <c r="AA644" s="325"/>
      <c r="AB644" s="324"/>
      <c r="AC644" s="323"/>
      <c r="AD644" s="324"/>
      <c r="AE644" s="325"/>
      <c r="AF644" s="324"/>
      <c r="AG644" s="323"/>
      <c r="AH644" s="324"/>
      <c r="AI644" s="325"/>
      <c r="AJ644" s="324"/>
      <c r="AK644" s="323"/>
      <c r="AL644" s="324"/>
      <c r="AM644" s="325"/>
      <c r="AN644" s="324"/>
    </row>
    <row r="645" spans="1:40">
      <c r="A645" s="199" t="s">
        <v>216</v>
      </c>
      <c r="B645" s="219" t="s">
        <v>869</v>
      </c>
      <c r="C645" s="199">
        <v>228680</v>
      </c>
      <c r="D645" s="201">
        <v>9</v>
      </c>
      <c r="E645" s="323">
        <v>2880</v>
      </c>
      <c r="F645" s="324">
        <v>3140</v>
      </c>
      <c r="G645" s="325">
        <v>6349</v>
      </c>
      <c r="H645" s="324">
        <v>6660</v>
      </c>
      <c r="I645" s="323">
        <v>0</v>
      </c>
      <c r="J645" s="324">
        <v>0</v>
      </c>
      <c r="K645" s="323">
        <v>0</v>
      </c>
      <c r="L645" s="324">
        <v>0</v>
      </c>
      <c r="M645" s="323"/>
      <c r="N645" s="324"/>
      <c r="O645" s="325"/>
      <c r="P645" s="324"/>
      <c r="Q645" s="323"/>
      <c r="R645" s="324"/>
      <c r="S645" s="325"/>
      <c r="T645" s="324"/>
      <c r="U645" s="323"/>
      <c r="V645" s="324"/>
      <c r="W645" s="325"/>
      <c r="X645" s="324"/>
      <c r="Y645" s="323"/>
      <c r="Z645" s="324"/>
      <c r="AA645" s="325"/>
      <c r="AB645" s="324"/>
      <c r="AC645" s="323"/>
      <c r="AD645" s="324"/>
      <c r="AE645" s="325"/>
      <c r="AF645" s="324"/>
      <c r="AG645" s="323"/>
      <c r="AH645" s="324"/>
      <c r="AI645" s="325"/>
      <c r="AJ645" s="324"/>
      <c r="AK645" s="323"/>
      <c r="AL645" s="324"/>
      <c r="AM645" s="325"/>
      <c r="AN645" s="324"/>
    </row>
    <row r="646" spans="1:40">
      <c r="A646" s="199" t="s">
        <v>216</v>
      </c>
      <c r="B646" s="219" t="s">
        <v>870</v>
      </c>
      <c r="C646" s="199">
        <v>225308</v>
      </c>
      <c r="D646" s="201">
        <v>9</v>
      </c>
      <c r="E646" s="323">
        <v>1312</v>
      </c>
      <c r="F646" s="324">
        <v>1372</v>
      </c>
      <c r="G646" s="325">
        <v>2506</v>
      </c>
      <c r="H646" s="324">
        <v>2670</v>
      </c>
      <c r="I646" s="323">
        <v>0</v>
      </c>
      <c r="J646" s="324">
        <v>0</v>
      </c>
      <c r="K646" s="323">
        <v>0</v>
      </c>
      <c r="L646" s="324">
        <v>0</v>
      </c>
      <c r="M646" s="323"/>
      <c r="N646" s="324"/>
      <c r="O646" s="325"/>
      <c r="P646" s="324"/>
      <c r="Q646" s="323"/>
      <c r="R646" s="324"/>
      <c r="S646" s="325"/>
      <c r="T646" s="324"/>
      <c r="U646" s="323"/>
      <c r="V646" s="324"/>
      <c r="W646" s="325"/>
      <c r="X646" s="324"/>
      <c r="Y646" s="323"/>
      <c r="Z646" s="324"/>
      <c r="AA646" s="325"/>
      <c r="AB646" s="324"/>
      <c r="AC646" s="323"/>
      <c r="AD646" s="324"/>
      <c r="AE646" s="325"/>
      <c r="AF646" s="324"/>
      <c r="AG646" s="323"/>
      <c r="AH646" s="324"/>
      <c r="AI646" s="325"/>
      <c r="AJ646" s="324"/>
      <c r="AK646" s="323"/>
      <c r="AL646" s="324"/>
      <c r="AM646" s="325"/>
      <c r="AN646" s="324"/>
    </row>
    <row r="647" spans="1:40">
      <c r="A647" s="199" t="s">
        <v>216</v>
      </c>
      <c r="B647" s="219" t="s">
        <v>871</v>
      </c>
      <c r="C647" s="199">
        <v>229504</v>
      </c>
      <c r="D647" s="203">
        <v>9</v>
      </c>
      <c r="E647" s="323">
        <v>1848</v>
      </c>
      <c r="F647" s="324">
        <v>2238</v>
      </c>
      <c r="G647" s="325">
        <v>4260</v>
      </c>
      <c r="H647" s="324">
        <v>4830</v>
      </c>
      <c r="I647" s="323">
        <v>0</v>
      </c>
      <c r="J647" s="324">
        <v>0</v>
      </c>
      <c r="K647" s="323">
        <v>0</v>
      </c>
      <c r="L647" s="324">
        <v>0</v>
      </c>
      <c r="M647" s="323"/>
      <c r="N647" s="324"/>
      <c r="O647" s="325"/>
      <c r="P647" s="324"/>
      <c r="Q647" s="323"/>
      <c r="R647" s="324"/>
      <c r="S647" s="325"/>
      <c r="T647" s="324"/>
      <c r="U647" s="323"/>
      <c r="V647" s="324"/>
      <c r="W647" s="325"/>
      <c r="X647" s="324"/>
      <c r="Y647" s="323"/>
      <c r="Z647" s="324"/>
      <c r="AA647" s="325"/>
      <c r="AB647" s="324"/>
      <c r="AC647" s="323"/>
      <c r="AD647" s="324"/>
      <c r="AE647" s="325"/>
      <c r="AF647" s="324"/>
      <c r="AG647" s="323"/>
      <c r="AH647" s="324"/>
      <c r="AI647" s="325"/>
      <c r="AJ647" s="324"/>
      <c r="AK647" s="323"/>
      <c r="AL647" s="324"/>
      <c r="AM647" s="325"/>
      <c r="AN647" s="324"/>
    </row>
    <row r="648" spans="1:40">
      <c r="A648" s="199" t="s">
        <v>216</v>
      </c>
      <c r="B648" s="204" t="s">
        <v>872</v>
      </c>
      <c r="C648" s="199">
        <v>229540</v>
      </c>
      <c r="D648" s="201">
        <v>9</v>
      </c>
      <c r="E648" s="323">
        <v>2164</v>
      </c>
      <c r="F648" s="324">
        <v>2836</v>
      </c>
      <c r="G648" s="325">
        <v>2458</v>
      </c>
      <c r="H648" s="324">
        <v>2916</v>
      </c>
      <c r="I648" s="323">
        <v>0</v>
      </c>
      <c r="J648" s="324">
        <v>0</v>
      </c>
      <c r="K648" s="323">
        <v>0</v>
      </c>
      <c r="L648" s="324">
        <v>0</v>
      </c>
      <c r="M648" s="323"/>
      <c r="N648" s="324"/>
      <c r="O648" s="325"/>
      <c r="P648" s="324"/>
      <c r="Q648" s="323"/>
      <c r="R648" s="324"/>
      <c r="S648" s="325"/>
      <c r="T648" s="324"/>
      <c r="U648" s="323"/>
      <c r="V648" s="324"/>
      <c r="W648" s="325"/>
      <c r="X648" s="324"/>
      <c r="Y648" s="323"/>
      <c r="Z648" s="324"/>
      <c r="AA648" s="325"/>
      <c r="AB648" s="324"/>
      <c r="AC648" s="323"/>
      <c r="AD648" s="324"/>
      <c r="AE648" s="325"/>
      <c r="AF648" s="324"/>
      <c r="AG648" s="323"/>
      <c r="AH648" s="324"/>
      <c r="AI648" s="325"/>
      <c r="AJ648" s="324"/>
      <c r="AK648" s="323"/>
      <c r="AL648" s="324"/>
      <c r="AM648" s="325"/>
      <c r="AN648" s="324"/>
    </row>
    <row r="649" spans="1:40">
      <c r="A649" s="199" t="s">
        <v>216</v>
      </c>
      <c r="B649" s="204" t="s">
        <v>873</v>
      </c>
      <c r="C649" s="199">
        <v>229799</v>
      </c>
      <c r="D649" s="201">
        <v>9</v>
      </c>
      <c r="E649" s="323">
        <v>1818</v>
      </c>
      <c r="F649" s="324">
        <v>1878</v>
      </c>
      <c r="G649" s="325">
        <v>3970</v>
      </c>
      <c r="H649" s="324">
        <v>4180</v>
      </c>
      <c r="I649" s="323">
        <v>0</v>
      </c>
      <c r="J649" s="324">
        <v>0</v>
      </c>
      <c r="K649" s="323">
        <v>0</v>
      </c>
      <c r="L649" s="324">
        <v>0</v>
      </c>
      <c r="M649" s="323"/>
      <c r="N649" s="324"/>
      <c r="O649" s="325"/>
      <c r="P649" s="324"/>
      <c r="Q649" s="323"/>
      <c r="R649" s="324"/>
      <c r="S649" s="325"/>
      <c r="T649" s="324"/>
      <c r="U649" s="323"/>
      <c r="V649" s="324"/>
      <c r="W649" s="325"/>
      <c r="X649" s="324"/>
      <c r="Y649" s="323"/>
      <c r="Z649" s="324"/>
      <c r="AA649" s="325"/>
      <c r="AB649" s="324"/>
      <c r="AC649" s="323"/>
      <c r="AD649" s="324"/>
      <c r="AE649" s="325"/>
      <c r="AF649" s="324"/>
      <c r="AG649" s="323"/>
      <c r="AH649" s="324"/>
      <c r="AI649" s="325"/>
      <c r="AJ649" s="324"/>
      <c r="AK649" s="323"/>
      <c r="AL649" s="324"/>
      <c r="AM649" s="325"/>
      <c r="AN649" s="324"/>
    </row>
    <row r="650" spans="1:40">
      <c r="A650" s="199" t="s">
        <v>216</v>
      </c>
      <c r="B650" s="204" t="s">
        <v>874</v>
      </c>
      <c r="C650" s="199">
        <v>229841</v>
      </c>
      <c r="D650" s="201">
        <v>9</v>
      </c>
      <c r="E650" s="323">
        <v>1664</v>
      </c>
      <c r="F650" s="324">
        <v>2028</v>
      </c>
      <c r="G650" s="325">
        <v>3960</v>
      </c>
      <c r="H650" s="324">
        <v>4260</v>
      </c>
      <c r="I650" s="323">
        <v>0</v>
      </c>
      <c r="J650" s="324">
        <v>0</v>
      </c>
      <c r="K650" s="323">
        <v>0</v>
      </c>
      <c r="L650" s="324">
        <v>0</v>
      </c>
      <c r="M650" s="323"/>
      <c r="N650" s="324"/>
      <c r="O650" s="325"/>
      <c r="P650" s="324"/>
      <c r="Q650" s="323"/>
      <c r="R650" s="324"/>
      <c r="S650" s="325"/>
      <c r="T650" s="324"/>
      <c r="U650" s="323"/>
      <c r="V650" s="324"/>
      <c r="W650" s="325"/>
      <c r="X650" s="324"/>
      <c r="Y650" s="323"/>
      <c r="Z650" s="324"/>
      <c r="AA650" s="325"/>
      <c r="AB650" s="324"/>
      <c r="AC650" s="323"/>
      <c r="AD650" s="324"/>
      <c r="AE650" s="325"/>
      <c r="AF650" s="324"/>
      <c r="AG650" s="323"/>
      <c r="AH650" s="324"/>
      <c r="AI650" s="325"/>
      <c r="AJ650" s="324"/>
      <c r="AK650" s="323"/>
      <c r="AL650" s="324"/>
      <c r="AM650" s="325"/>
      <c r="AN650" s="324"/>
    </row>
    <row r="651" spans="1:40">
      <c r="A651" s="199" t="s">
        <v>216</v>
      </c>
      <c r="B651" s="204" t="s">
        <v>875</v>
      </c>
      <c r="C651" s="199">
        <v>223922</v>
      </c>
      <c r="D651" s="201">
        <v>10</v>
      </c>
      <c r="E651" s="323">
        <v>2940</v>
      </c>
      <c r="F651" s="324">
        <v>2924</v>
      </c>
      <c r="G651" s="325">
        <v>3480</v>
      </c>
      <c r="H651" s="324">
        <v>3510</v>
      </c>
      <c r="I651" s="323">
        <v>0</v>
      </c>
      <c r="J651" s="324">
        <v>0</v>
      </c>
      <c r="K651" s="323">
        <v>0</v>
      </c>
      <c r="L651" s="324">
        <v>0</v>
      </c>
      <c r="M651" s="323"/>
      <c r="N651" s="324"/>
      <c r="O651" s="325"/>
      <c r="P651" s="324"/>
      <c r="Q651" s="323"/>
      <c r="R651" s="324"/>
      <c r="S651" s="325"/>
      <c r="T651" s="324"/>
      <c r="U651" s="323"/>
      <c r="V651" s="324"/>
      <c r="W651" s="325"/>
      <c r="X651" s="324"/>
      <c r="Y651" s="323"/>
      <c r="Z651" s="324"/>
      <c r="AA651" s="325"/>
      <c r="AB651" s="324"/>
      <c r="AC651" s="323"/>
      <c r="AD651" s="324"/>
      <c r="AE651" s="325"/>
      <c r="AF651" s="324"/>
      <c r="AG651" s="323"/>
      <c r="AH651" s="324"/>
      <c r="AI651" s="325"/>
      <c r="AJ651" s="324"/>
      <c r="AK651" s="323"/>
      <c r="AL651" s="324"/>
      <c r="AM651" s="325"/>
      <c r="AN651" s="324"/>
    </row>
    <row r="652" spans="1:40">
      <c r="A652" s="199" t="s">
        <v>216</v>
      </c>
      <c r="B652" s="204" t="s">
        <v>876</v>
      </c>
      <c r="C652" s="199">
        <v>224891</v>
      </c>
      <c r="D652" s="201">
        <v>10</v>
      </c>
      <c r="E652" s="323">
        <v>2626</v>
      </c>
      <c r="F652" s="324">
        <v>2716</v>
      </c>
      <c r="G652" s="325">
        <v>3113</v>
      </c>
      <c r="H652" s="324">
        <v>3216</v>
      </c>
      <c r="I652" s="323">
        <v>0</v>
      </c>
      <c r="J652" s="324">
        <v>0</v>
      </c>
      <c r="K652" s="323">
        <v>0</v>
      </c>
      <c r="L652" s="324">
        <v>0</v>
      </c>
      <c r="M652" s="323"/>
      <c r="N652" s="324"/>
      <c r="O652" s="325"/>
      <c r="P652" s="324"/>
      <c r="Q652" s="323"/>
      <c r="R652" s="324"/>
      <c r="S652" s="325"/>
      <c r="T652" s="324"/>
      <c r="U652" s="323"/>
      <c r="V652" s="324"/>
      <c r="W652" s="325"/>
      <c r="X652" s="324"/>
      <c r="Y652" s="323"/>
      <c r="Z652" s="324"/>
      <c r="AA652" s="325"/>
      <c r="AB652" s="324"/>
      <c r="AC652" s="323"/>
      <c r="AD652" s="324"/>
      <c r="AE652" s="325"/>
      <c r="AF652" s="324"/>
      <c r="AG652" s="323"/>
      <c r="AH652" s="324"/>
      <c r="AI652" s="325"/>
      <c r="AJ652" s="324"/>
      <c r="AK652" s="323"/>
      <c r="AL652" s="324"/>
      <c r="AM652" s="325"/>
      <c r="AN652" s="324"/>
    </row>
    <row r="653" spans="1:40">
      <c r="A653" s="199" t="s">
        <v>216</v>
      </c>
      <c r="B653" s="204" t="s">
        <v>0</v>
      </c>
      <c r="C653" s="199">
        <v>224961</v>
      </c>
      <c r="D653" s="201">
        <v>10</v>
      </c>
      <c r="E653" s="323">
        <v>1414</v>
      </c>
      <c r="F653" s="324">
        <v>1462</v>
      </c>
      <c r="G653" s="325">
        <v>2314</v>
      </c>
      <c r="H653" s="324">
        <v>2314</v>
      </c>
      <c r="I653" s="323">
        <v>0</v>
      </c>
      <c r="J653" s="324">
        <v>0</v>
      </c>
      <c r="K653" s="323">
        <v>0</v>
      </c>
      <c r="L653" s="324">
        <v>0</v>
      </c>
      <c r="M653" s="323"/>
      <c r="N653" s="324"/>
      <c r="O653" s="325"/>
      <c r="P653" s="324"/>
      <c r="Q653" s="323"/>
      <c r="R653" s="324"/>
      <c r="S653" s="325"/>
      <c r="T653" s="324"/>
      <c r="U653" s="323"/>
      <c r="V653" s="324"/>
      <c r="W653" s="325"/>
      <c r="X653" s="324"/>
      <c r="Y653" s="323"/>
      <c r="Z653" s="324"/>
      <c r="AA653" s="325"/>
      <c r="AB653" s="324"/>
      <c r="AC653" s="323"/>
      <c r="AD653" s="324"/>
      <c r="AE653" s="325"/>
      <c r="AF653" s="324"/>
      <c r="AG653" s="323"/>
      <c r="AH653" s="324"/>
      <c r="AI653" s="325"/>
      <c r="AJ653" s="324"/>
      <c r="AK653" s="323"/>
      <c r="AL653" s="324"/>
      <c r="AM653" s="325"/>
      <c r="AN653" s="324"/>
    </row>
    <row r="654" spans="1:40">
      <c r="A654" s="199" t="s">
        <v>216</v>
      </c>
      <c r="B654" s="219" t="s">
        <v>1</v>
      </c>
      <c r="C654" s="199">
        <v>226107</v>
      </c>
      <c r="D654" s="201">
        <v>10</v>
      </c>
      <c r="E654" s="323">
        <v>3496</v>
      </c>
      <c r="F654" s="324">
        <v>3534</v>
      </c>
      <c r="G654" s="379">
        <f>10590+880</f>
        <v>11470</v>
      </c>
      <c r="H654" s="378">
        <f>10890+880</f>
        <v>11770</v>
      </c>
      <c r="I654" s="323">
        <v>0</v>
      </c>
      <c r="J654" s="324">
        <v>0</v>
      </c>
      <c r="K654" s="323">
        <v>0</v>
      </c>
      <c r="L654" s="324">
        <v>0</v>
      </c>
      <c r="M654" s="323"/>
      <c r="N654" s="324"/>
      <c r="O654" s="325"/>
      <c r="P654" s="324"/>
      <c r="Q654" s="323"/>
      <c r="R654" s="324"/>
      <c r="S654" s="325"/>
      <c r="T654" s="324"/>
      <c r="U654" s="323"/>
      <c r="V654" s="324"/>
      <c r="W654" s="325"/>
      <c r="X654" s="324"/>
      <c r="Y654" s="323"/>
      <c r="Z654" s="324"/>
      <c r="AA654" s="325"/>
      <c r="AB654" s="324"/>
      <c r="AC654" s="323"/>
      <c r="AD654" s="324"/>
      <c r="AE654" s="325"/>
      <c r="AF654" s="324"/>
      <c r="AG654" s="323"/>
      <c r="AH654" s="324"/>
      <c r="AI654" s="325"/>
      <c r="AJ654" s="324"/>
      <c r="AK654" s="323"/>
      <c r="AL654" s="324"/>
      <c r="AM654" s="325"/>
      <c r="AN654" s="324"/>
    </row>
    <row r="655" spans="1:40">
      <c r="A655" s="199" t="s">
        <v>216</v>
      </c>
      <c r="B655" s="222" t="s">
        <v>2</v>
      </c>
      <c r="C655" s="223">
        <v>226116</v>
      </c>
      <c r="D655" s="224">
        <v>10</v>
      </c>
      <c r="E655" s="323">
        <v>3632</v>
      </c>
      <c r="F655" s="324">
        <v>3632</v>
      </c>
      <c r="G655" s="325">
        <v>12542</v>
      </c>
      <c r="H655" s="324">
        <v>12422</v>
      </c>
      <c r="I655" s="323">
        <v>0</v>
      </c>
      <c r="J655" s="324">
        <v>0</v>
      </c>
      <c r="K655" s="323">
        <v>0</v>
      </c>
      <c r="L655" s="324">
        <v>0</v>
      </c>
      <c r="M655" s="323"/>
      <c r="N655" s="324"/>
      <c r="O655" s="325"/>
      <c r="P655" s="324"/>
      <c r="Q655" s="323"/>
      <c r="R655" s="324"/>
      <c r="S655" s="325"/>
      <c r="T655" s="324"/>
      <c r="U655" s="323"/>
      <c r="V655" s="324"/>
      <c r="W655" s="325"/>
      <c r="X655" s="324"/>
      <c r="Y655" s="323"/>
      <c r="Z655" s="324"/>
      <c r="AA655" s="325"/>
      <c r="AB655" s="324"/>
      <c r="AC655" s="323"/>
      <c r="AD655" s="324"/>
      <c r="AE655" s="325"/>
      <c r="AF655" s="324"/>
      <c r="AG655" s="323"/>
      <c r="AH655" s="324"/>
      <c r="AI655" s="325"/>
      <c r="AJ655" s="324"/>
      <c r="AK655" s="323"/>
      <c r="AL655" s="324"/>
      <c r="AM655" s="325"/>
      <c r="AN655" s="324"/>
    </row>
    <row r="656" spans="1:40">
      <c r="A656" s="199" t="s">
        <v>216</v>
      </c>
      <c r="B656" s="204" t="s">
        <v>3</v>
      </c>
      <c r="C656" s="225"/>
      <c r="D656" s="224">
        <v>10</v>
      </c>
      <c r="E656" s="323">
        <v>1832</v>
      </c>
      <c r="F656" s="324">
        <v>1859</v>
      </c>
      <c r="G656" s="325">
        <v>5792</v>
      </c>
      <c r="H656" s="324">
        <v>7254</v>
      </c>
      <c r="I656" s="323">
        <v>0</v>
      </c>
      <c r="J656" s="324">
        <v>0</v>
      </c>
      <c r="K656" s="323">
        <v>0</v>
      </c>
      <c r="L656" s="324">
        <v>0</v>
      </c>
      <c r="M656" s="323"/>
      <c r="N656" s="324"/>
      <c r="O656" s="325"/>
      <c r="P656" s="324"/>
      <c r="Q656" s="323"/>
      <c r="R656" s="324"/>
      <c r="S656" s="325"/>
      <c r="T656" s="324"/>
      <c r="U656" s="323"/>
      <c r="V656" s="324"/>
      <c r="W656" s="325"/>
      <c r="X656" s="324"/>
      <c r="Y656" s="323"/>
      <c r="Z656" s="324"/>
      <c r="AA656" s="325"/>
      <c r="AB656" s="324"/>
      <c r="AC656" s="323"/>
      <c r="AD656" s="324"/>
      <c r="AE656" s="325"/>
      <c r="AF656" s="324"/>
      <c r="AG656" s="323"/>
      <c r="AH656" s="324"/>
      <c r="AI656" s="325"/>
      <c r="AJ656" s="324"/>
      <c r="AK656" s="323"/>
      <c r="AL656" s="324"/>
      <c r="AM656" s="325"/>
      <c r="AN656" s="324"/>
    </row>
    <row r="657" spans="1:40">
      <c r="A657" s="199" t="s">
        <v>216</v>
      </c>
      <c r="B657" s="219" t="s">
        <v>4</v>
      </c>
      <c r="C657" s="199">
        <v>227225</v>
      </c>
      <c r="D657" s="201">
        <v>10</v>
      </c>
      <c r="E657" s="323">
        <v>1986</v>
      </c>
      <c r="F657" s="324">
        <v>2090</v>
      </c>
      <c r="G657" s="325">
        <v>3956</v>
      </c>
      <c r="H657" s="324">
        <v>4284</v>
      </c>
      <c r="I657" s="323">
        <v>0</v>
      </c>
      <c r="J657" s="324">
        <v>0</v>
      </c>
      <c r="K657" s="323">
        <v>0</v>
      </c>
      <c r="L657" s="324">
        <v>0</v>
      </c>
      <c r="M657" s="323"/>
      <c r="N657" s="324"/>
      <c r="O657" s="325"/>
      <c r="P657" s="324"/>
      <c r="Q657" s="323"/>
      <c r="R657" s="324"/>
      <c r="S657" s="325"/>
      <c r="T657" s="324"/>
      <c r="U657" s="323"/>
      <c r="V657" s="324"/>
      <c r="W657" s="325"/>
      <c r="X657" s="324"/>
      <c r="Y657" s="323"/>
      <c r="Z657" s="324"/>
      <c r="AA657" s="325"/>
      <c r="AB657" s="324"/>
      <c r="AC657" s="323"/>
      <c r="AD657" s="324"/>
      <c r="AE657" s="325"/>
      <c r="AF657" s="324"/>
      <c r="AG657" s="323"/>
      <c r="AH657" s="324"/>
      <c r="AI657" s="325"/>
      <c r="AJ657" s="324"/>
      <c r="AK657" s="323"/>
      <c r="AL657" s="324"/>
      <c r="AM657" s="325"/>
      <c r="AN657" s="324"/>
    </row>
    <row r="658" spans="1:40">
      <c r="A658" s="199" t="s">
        <v>216</v>
      </c>
      <c r="B658" s="204" t="s">
        <v>5</v>
      </c>
      <c r="C658" s="199">
        <v>227386</v>
      </c>
      <c r="D658" s="201">
        <v>10</v>
      </c>
      <c r="E658" s="323">
        <v>1690</v>
      </c>
      <c r="F658" s="324">
        <v>1690</v>
      </c>
      <c r="G658" s="325">
        <v>3120</v>
      </c>
      <c r="H658" s="324">
        <v>2938</v>
      </c>
      <c r="I658" s="323">
        <v>0</v>
      </c>
      <c r="J658" s="324">
        <v>0</v>
      </c>
      <c r="K658" s="323">
        <v>0</v>
      </c>
      <c r="L658" s="324">
        <v>0</v>
      </c>
      <c r="M658" s="323"/>
      <c r="N658" s="324"/>
      <c r="O658" s="325"/>
      <c r="P658" s="324"/>
      <c r="Q658" s="323"/>
      <c r="R658" s="324"/>
      <c r="S658" s="325"/>
      <c r="T658" s="324"/>
      <c r="U658" s="323"/>
      <c r="V658" s="324"/>
      <c r="W658" s="325"/>
      <c r="X658" s="324"/>
      <c r="Y658" s="323"/>
      <c r="Z658" s="324"/>
      <c r="AA658" s="325"/>
      <c r="AB658" s="324"/>
      <c r="AC658" s="323"/>
      <c r="AD658" s="324"/>
      <c r="AE658" s="325"/>
      <c r="AF658" s="324"/>
      <c r="AG658" s="323"/>
      <c r="AH658" s="324"/>
      <c r="AI658" s="325"/>
      <c r="AJ658" s="324"/>
      <c r="AK658" s="323"/>
      <c r="AL658" s="324"/>
      <c r="AM658" s="325"/>
      <c r="AN658" s="324"/>
    </row>
    <row r="659" spans="1:40">
      <c r="A659" s="199" t="s">
        <v>216</v>
      </c>
      <c r="B659" s="204" t="s">
        <v>6</v>
      </c>
      <c r="C659" s="199">
        <v>227687</v>
      </c>
      <c r="D659" s="201">
        <v>10</v>
      </c>
      <c r="E659" s="323">
        <v>2112</v>
      </c>
      <c r="F659" s="324">
        <v>2112</v>
      </c>
      <c r="G659" s="325">
        <v>2400</v>
      </c>
      <c r="H659" s="324">
        <v>2440</v>
      </c>
      <c r="I659" s="323">
        <v>0</v>
      </c>
      <c r="J659" s="324">
        <v>0</v>
      </c>
      <c r="K659" s="323">
        <v>0</v>
      </c>
      <c r="L659" s="324">
        <v>0</v>
      </c>
      <c r="M659" s="323"/>
      <c r="N659" s="324"/>
      <c r="O659" s="325"/>
      <c r="P659" s="324"/>
      <c r="Q659" s="323"/>
      <c r="R659" s="324"/>
      <c r="S659" s="325"/>
      <c r="T659" s="324"/>
      <c r="U659" s="323"/>
      <c r="V659" s="324"/>
      <c r="W659" s="325"/>
      <c r="X659" s="324"/>
      <c r="Y659" s="323"/>
      <c r="Z659" s="324"/>
      <c r="AA659" s="325"/>
      <c r="AB659" s="324"/>
      <c r="AC659" s="323"/>
      <c r="AD659" s="324"/>
      <c r="AE659" s="325"/>
      <c r="AF659" s="324"/>
      <c r="AG659" s="323"/>
      <c r="AH659" s="324"/>
      <c r="AI659" s="325"/>
      <c r="AJ659" s="324"/>
      <c r="AK659" s="323"/>
      <c r="AL659" s="324"/>
      <c r="AM659" s="325"/>
      <c r="AN659" s="324"/>
    </row>
    <row r="660" spans="1:40">
      <c r="A660" s="199" t="s">
        <v>216</v>
      </c>
      <c r="B660" s="204" t="s">
        <v>7</v>
      </c>
      <c r="C660" s="199">
        <v>382911</v>
      </c>
      <c r="D660" s="201">
        <v>10</v>
      </c>
      <c r="E660" s="323">
        <v>1752</v>
      </c>
      <c r="F660" s="324">
        <v>1752</v>
      </c>
      <c r="G660" s="325">
        <v>2772</v>
      </c>
      <c r="H660" s="324">
        <v>2832</v>
      </c>
      <c r="I660" s="323">
        <v>0</v>
      </c>
      <c r="J660" s="324">
        <v>0</v>
      </c>
      <c r="K660" s="323">
        <v>0</v>
      </c>
      <c r="L660" s="324">
        <v>0</v>
      </c>
      <c r="M660" s="323"/>
      <c r="N660" s="324"/>
      <c r="O660" s="325"/>
      <c r="P660" s="324"/>
      <c r="Q660" s="323"/>
      <c r="R660" s="324"/>
      <c r="S660" s="325"/>
      <c r="T660" s="324"/>
      <c r="U660" s="323"/>
      <c r="V660" s="324"/>
      <c r="W660" s="325"/>
      <c r="X660" s="324"/>
      <c r="Y660" s="323"/>
      <c r="Z660" s="324"/>
      <c r="AA660" s="325"/>
      <c r="AB660" s="324"/>
      <c r="AC660" s="323"/>
      <c r="AD660" s="324"/>
      <c r="AE660" s="325"/>
      <c r="AF660" s="324"/>
      <c r="AG660" s="323"/>
      <c r="AH660" s="324"/>
      <c r="AI660" s="325"/>
      <c r="AJ660" s="324"/>
      <c r="AK660" s="323"/>
      <c r="AL660" s="324"/>
      <c r="AM660" s="325"/>
      <c r="AN660" s="324"/>
    </row>
    <row r="661" spans="1:40">
      <c r="A661" s="199" t="s">
        <v>216</v>
      </c>
      <c r="B661" s="204" t="s">
        <v>8</v>
      </c>
      <c r="C661" s="220">
        <v>408394</v>
      </c>
      <c r="D661" s="201">
        <v>10</v>
      </c>
      <c r="E661" s="323">
        <v>2820</v>
      </c>
      <c r="F661" s="324">
        <v>3052</v>
      </c>
      <c r="G661" s="325">
        <v>6330</v>
      </c>
      <c r="H661" s="324">
        <v>6660</v>
      </c>
      <c r="I661" s="323">
        <v>0</v>
      </c>
      <c r="J661" s="324">
        <v>0</v>
      </c>
      <c r="K661" s="323">
        <v>0</v>
      </c>
      <c r="L661" s="324">
        <v>0</v>
      </c>
      <c r="M661" s="323"/>
      <c r="N661" s="324"/>
      <c r="O661" s="325"/>
      <c r="P661" s="324"/>
      <c r="Q661" s="323"/>
      <c r="R661" s="324"/>
      <c r="S661" s="325"/>
      <c r="T661" s="324"/>
      <c r="U661" s="323"/>
      <c r="V661" s="324"/>
      <c r="W661" s="325"/>
      <c r="X661" s="324"/>
      <c r="Y661" s="323"/>
      <c r="Z661" s="324"/>
      <c r="AA661" s="325"/>
      <c r="AB661" s="324"/>
      <c r="AC661" s="323"/>
      <c r="AD661" s="324"/>
      <c r="AE661" s="325"/>
      <c r="AF661" s="324"/>
      <c r="AG661" s="323"/>
      <c r="AH661" s="324"/>
      <c r="AI661" s="325"/>
      <c r="AJ661" s="324"/>
      <c r="AK661" s="323"/>
      <c r="AL661" s="324"/>
      <c r="AM661" s="325"/>
      <c r="AN661" s="324"/>
    </row>
    <row r="662" spans="1:40">
      <c r="A662" s="199" t="s">
        <v>216</v>
      </c>
      <c r="B662" s="219" t="s">
        <v>9</v>
      </c>
      <c r="C662" s="199">
        <v>229328</v>
      </c>
      <c r="D662" s="201">
        <v>10</v>
      </c>
      <c r="E662" s="323">
        <v>2740</v>
      </c>
      <c r="F662" s="324">
        <v>2886</v>
      </c>
      <c r="G662" s="325">
        <v>6370</v>
      </c>
      <c r="H662" s="324">
        <v>6660</v>
      </c>
      <c r="I662" s="323">
        <v>0</v>
      </c>
      <c r="J662" s="324">
        <v>0</v>
      </c>
      <c r="K662" s="323">
        <v>0</v>
      </c>
      <c r="L662" s="324">
        <v>0</v>
      </c>
      <c r="M662" s="323"/>
      <c r="N662" s="324"/>
      <c r="O662" s="325"/>
      <c r="P662" s="324"/>
      <c r="Q662" s="323"/>
      <c r="R662" s="324"/>
      <c r="S662" s="325"/>
      <c r="T662" s="324"/>
      <c r="U662" s="323"/>
      <c r="V662" s="324"/>
      <c r="W662" s="325"/>
      <c r="X662" s="324"/>
      <c r="Y662" s="323"/>
      <c r="Z662" s="324"/>
      <c r="AA662" s="325"/>
      <c r="AB662" s="324"/>
      <c r="AC662" s="323"/>
      <c r="AD662" s="324"/>
      <c r="AE662" s="325"/>
      <c r="AF662" s="324"/>
      <c r="AG662" s="323"/>
      <c r="AH662" s="324"/>
      <c r="AI662" s="325"/>
      <c r="AJ662" s="324"/>
      <c r="AK662" s="323"/>
      <c r="AL662" s="324"/>
      <c r="AM662" s="325"/>
      <c r="AN662" s="324"/>
    </row>
    <row r="663" spans="1:40">
      <c r="A663" s="199" t="s">
        <v>216</v>
      </c>
      <c r="B663" s="219" t="s">
        <v>10</v>
      </c>
      <c r="C663" s="199">
        <v>229832</v>
      </c>
      <c r="D663" s="201">
        <v>10</v>
      </c>
      <c r="E663" s="323">
        <v>2050</v>
      </c>
      <c r="F663" s="324">
        <v>2140</v>
      </c>
      <c r="G663" s="325">
        <v>2840</v>
      </c>
      <c r="H663" s="324">
        <v>2980</v>
      </c>
      <c r="I663" s="323">
        <v>0</v>
      </c>
      <c r="J663" s="324">
        <v>0</v>
      </c>
      <c r="K663" s="323">
        <v>0</v>
      </c>
      <c r="L663" s="324">
        <v>0</v>
      </c>
      <c r="M663" s="323"/>
      <c r="N663" s="324"/>
      <c r="O663" s="325"/>
      <c r="P663" s="324"/>
      <c r="Q663" s="323"/>
      <c r="R663" s="324"/>
      <c r="S663" s="325"/>
      <c r="T663" s="324"/>
      <c r="U663" s="323"/>
      <c r="V663" s="324"/>
      <c r="W663" s="325"/>
      <c r="X663" s="324"/>
      <c r="Y663" s="323"/>
      <c r="Z663" s="324"/>
      <c r="AA663" s="325"/>
      <c r="AB663" s="324"/>
      <c r="AC663" s="323"/>
      <c r="AD663" s="324"/>
      <c r="AE663" s="325"/>
      <c r="AF663" s="324"/>
      <c r="AG663" s="323"/>
      <c r="AH663" s="324"/>
      <c r="AI663" s="325"/>
      <c r="AJ663" s="324"/>
      <c r="AK663" s="323"/>
      <c r="AL663" s="324"/>
      <c r="AM663" s="325"/>
      <c r="AN663" s="324"/>
    </row>
    <row r="664" spans="1:40">
      <c r="A664" s="199" t="s">
        <v>216</v>
      </c>
      <c r="B664" s="219" t="s">
        <v>1117</v>
      </c>
      <c r="C664" s="220">
        <v>223214</v>
      </c>
      <c r="D664" s="201">
        <v>15</v>
      </c>
      <c r="E664" s="323">
        <v>5657</v>
      </c>
      <c r="F664" s="324">
        <v>5819</v>
      </c>
      <c r="G664" s="325">
        <v>15492</v>
      </c>
      <c r="H664" s="324">
        <v>15514</v>
      </c>
      <c r="I664" s="323">
        <v>6846</v>
      </c>
      <c r="J664" s="324">
        <v>7080</v>
      </c>
      <c r="K664" s="323">
        <v>14031.6</v>
      </c>
      <c r="L664" s="324">
        <v>14191.199999999999</v>
      </c>
      <c r="M664" s="323"/>
      <c r="N664" s="324"/>
      <c r="O664" s="325"/>
      <c r="P664" s="324"/>
      <c r="Q664" s="323">
        <v>11231</v>
      </c>
      <c r="R664" s="324">
        <v>11394</v>
      </c>
      <c r="S664" s="379">
        <f>+(11025+2281)*1.2</f>
        <v>15967.199999999999</v>
      </c>
      <c r="T664" s="377">
        <v>24494</v>
      </c>
      <c r="U664" s="323">
        <v>12310</v>
      </c>
      <c r="V664" s="324">
        <v>12848</v>
      </c>
      <c r="W664" s="325">
        <v>23110</v>
      </c>
      <c r="X664" s="324">
        <v>23648</v>
      </c>
      <c r="Y664" s="323"/>
      <c r="Z664" s="324"/>
      <c r="AA664" s="325"/>
      <c r="AB664" s="324"/>
      <c r="AC664" s="323"/>
      <c r="AD664" s="324"/>
      <c r="AE664" s="325"/>
      <c r="AF664" s="324"/>
      <c r="AG664" s="323"/>
      <c r="AH664" s="324"/>
      <c r="AI664" s="325"/>
      <c r="AJ664" s="324"/>
      <c r="AK664" s="323"/>
      <c r="AL664" s="324"/>
      <c r="AM664" s="325"/>
      <c r="AN664" s="324"/>
    </row>
    <row r="665" spans="1:40">
      <c r="A665" s="199" t="s">
        <v>216</v>
      </c>
      <c r="B665" s="219" t="s">
        <v>1057</v>
      </c>
      <c r="C665" s="220" t="s">
        <v>1058</v>
      </c>
      <c r="D665" s="236">
        <v>15</v>
      </c>
      <c r="E665" s="323"/>
      <c r="F665" s="324"/>
      <c r="G665" s="325"/>
      <c r="H665" s="324"/>
      <c r="I665" s="323"/>
      <c r="J665" s="324"/>
      <c r="K665" s="323"/>
      <c r="L665" s="324"/>
      <c r="M665" s="323"/>
      <c r="N665" s="324"/>
      <c r="O665" s="325"/>
      <c r="P665" s="324"/>
      <c r="Q665" s="323"/>
      <c r="R665" s="324"/>
      <c r="S665" s="325"/>
      <c r="T665" s="324"/>
      <c r="U665" s="323"/>
      <c r="V665" s="324"/>
      <c r="W665" s="325"/>
      <c r="X665" s="324"/>
      <c r="Y665" s="323"/>
      <c r="Z665" s="324"/>
      <c r="AA665" s="325"/>
      <c r="AB665" s="324"/>
      <c r="AC665" s="323"/>
      <c r="AD665" s="324"/>
      <c r="AE665" s="325"/>
      <c r="AF665" s="324"/>
      <c r="AG665" s="323"/>
      <c r="AH665" s="324"/>
      <c r="AI665" s="325"/>
      <c r="AJ665" s="324"/>
      <c r="AK665" s="323"/>
      <c r="AL665" s="324"/>
      <c r="AM665" s="325"/>
      <c r="AN665" s="324"/>
    </row>
    <row r="666" spans="1:40">
      <c r="A666" s="199" t="s">
        <v>216</v>
      </c>
      <c r="B666" s="219" t="s">
        <v>1059</v>
      </c>
      <c r="C666" s="220" t="s">
        <v>1058</v>
      </c>
      <c r="D666" s="236">
        <v>15</v>
      </c>
      <c r="E666" s="323"/>
      <c r="F666" s="324"/>
      <c r="G666" s="325"/>
      <c r="H666" s="324"/>
      <c r="I666" s="323"/>
      <c r="J666" s="324"/>
      <c r="K666" s="323"/>
      <c r="L666" s="324"/>
      <c r="M666" s="323"/>
      <c r="N666" s="324"/>
      <c r="O666" s="325"/>
      <c r="P666" s="324"/>
      <c r="Q666" s="323"/>
      <c r="R666" s="324"/>
      <c r="S666" s="325"/>
      <c r="T666" s="324"/>
      <c r="U666" s="323"/>
      <c r="V666" s="324"/>
      <c r="W666" s="325"/>
      <c r="X666" s="324"/>
      <c r="Y666" s="323"/>
      <c r="Z666" s="324"/>
      <c r="AA666" s="325"/>
      <c r="AB666" s="324"/>
      <c r="AC666" s="323"/>
      <c r="AD666" s="324"/>
      <c r="AE666" s="325"/>
      <c r="AF666" s="324"/>
      <c r="AG666" s="323"/>
      <c r="AH666" s="324"/>
      <c r="AI666" s="325"/>
      <c r="AJ666" s="324"/>
      <c r="AK666" s="323"/>
      <c r="AL666" s="324"/>
      <c r="AM666" s="325"/>
      <c r="AN666" s="324"/>
    </row>
    <row r="667" spans="1:40">
      <c r="A667" s="199" t="s">
        <v>216</v>
      </c>
      <c r="B667" s="219" t="s">
        <v>11</v>
      </c>
      <c r="C667" s="199">
        <v>229337</v>
      </c>
      <c r="D667" s="201">
        <v>15</v>
      </c>
      <c r="E667" s="323">
        <v>6936</v>
      </c>
      <c r="F667" s="324">
        <v>6949</v>
      </c>
      <c r="G667" s="325">
        <v>15366</v>
      </c>
      <c r="H667" s="324">
        <v>15259</v>
      </c>
      <c r="I667" s="376">
        <v>7217</v>
      </c>
      <c r="J667" s="378">
        <v>7241</v>
      </c>
      <c r="K667" s="376">
        <v>13961</v>
      </c>
      <c r="L667" s="378">
        <v>13889</v>
      </c>
      <c r="M667" s="323"/>
      <c r="N667" s="324"/>
      <c r="O667" s="325"/>
      <c r="P667" s="324"/>
      <c r="Q667" s="323">
        <v>12736</v>
      </c>
      <c r="R667" s="324">
        <v>13461</v>
      </c>
      <c r="S667" s="325">
        <v>25836</v>
      </c>
      <c r="T667" s="324">
        <v>26561</v>
      </c>
      <c r="U667" s="323"/>
      <c r="V667" s="324"/>
      <c r="W667" s="325"/>
      <c r="X667" s="324"/>
      <c r="Y667" s="323">
        <v>9035</v>
      </c>
      <c r="Z667" s="324">
        <v>9191</v>
      </c>
      <c r="AA667" s="325">
        <v>15779</v>
      </c>
      <c r="AB667" s="324">
        <v>15935</v>
      </c>
      <c r="AC667" s="323"/>
      <c r="AD667" s="324"/>
      <c r="AE667" s="325"/>
      <c r="AF667" s="324"/>
      <c r="AG667" s="323"/>
      <c r="AH667" s="324"/>
      <c r="AI667" s="325"/>
      <c r="AJ667" s="324"/>
      <c r="AK667" s="323"/>
      <c r="AL667" s="324"/>
      <c r="AM667" s="325"/>
      <c r="AN667" s="324"/>
    </row>
    <row r="668" spans="1:40">
      <c r="A668" s="199" t="s">
        <v>216</v>
      </c>
      <c r="B668" s="219" t="s">
        <v>1060</v>
      </c>
      <c r="C668" s="220" t="s">
        <v>1058</v>
      </c>
      <c r="D668" s="236">
        <v>15</v>
      </c>
      <c r="E668" s="323"/>
      <c r="F668" s="324"/>
      <c r="G668" s="325"/>
      <c r="H668" s="324"/>
      <c r="I668" s="323"/>
      <c r="J668" s="324"/>
      <c r="K668" s="323"/>
      <c r="L668" s="324"/>
      <c r="M668" s="323"/>
      <c r="N668" s="324"/>
      <c r="O668" s="325"/>
      <c r="P668" s="324"/>
      <c r="Q668" s="323"/>
      <c r="R668" s="324"/>
      <c r="S668" s="325"/>
      <c r="T668" s="324"/>
      <c r="U668" s="323"/>
      <c r="V668" s="324"/>
      <c r="W668" s="325"/>
      <c r="X668" s="324"/>
      <c r="Y668" s="323"/>
      <c r="Z668" s="324"/>
      <c r="AA668" s="325"/>
      <c r="AB668" s="324"/>
      <c r="AC668" s="323"/>
      <c r="AD668" s="324"/>
      <c r="AE668" s="325"/>
      <c r="AF668" s="324"/>
      <c r="AG668" s="323"/>
      <c r="AH668" s="324"/>
      <c r="AI668" s="325"/>
      <c r="AJ668" s="324"/>
      <c r="AK668" s="323"/>
      <c r="AL668" s="324"/>
      <c r="AM668" s="325"/>
      <c r="AN668" s="324"/>
    </row>
    <row r="669" spans="1:40">
      <c r="A669" s="199" t="s">
        <v>216</v>
      </c>
      <c r="B669" s="219" t="s">
        <v>12</v>
      </c>
      <c r="C669" s="220">
        <v>228909</v>
      </c>
      <c r="D669" s="203">
        <v>15</v>
      </c>
      <c r="E669" s="323">
        <v>0</v>
      </c>
      <c r="F669" s="324">
        <v>0</v>
      </c>
      <c r="G669" s="325">
        <v>0</v>
      </c>
      <c r="H669" s="324">
        <v>0</v>
      </c>
      <c r="I669" s="323">
        <v>3984</v>
      </c>
      <c r="J669" s="324">
        <v>4476</v>
      </c>
      <c r="K669" s="323">
        <v>11976</v>
      </c>
      <c r="L669" s="324">
        <v>12780</v>
      </c>
      <c r="M669" s="323"/>
      <c r="N669" s="324"/>
      <c r="O669" s="325"/>
      <c r="P669" s="324"/>
      <c r="Q669" s="323">
        <v>14877</v>
      </c>
      <c r="R669" s="324">
        <v>14877</v>
      </c>
      <c r="S669" s="325">
        <v>30627</v>
      </c>
      <c r="T669" s="324">
        <v>30627</v>
      </c>
      <c r="U669" s="323"/>
      <c r="V669" s="324"/>
      <c r="W669" s="325"/>
      <c r="X669" s="324"/>
      <c r="Y669" s="323"/>
      <c r="Z669" s="324"/>
      <c r="AA669" s="325"/>
      <c r="AB669" s="324"/>
      <c r="AC669" s="323"/>
      <c r="AD669" s="324"/>
      <c r="AE669" s="325"/>
      <c r="AF669" s="324"/>
      <c r="AG669" s="323">
        <v>14877</v>
      </c>
      <c r="AH669" s="324">
        <v>14877</v>
      </c>
      <c r="AI669" s="325">
        <v>30627</v>
      </c>
      <c r="AJ669" s="324">
        <v>30627</v>
      </c>
      <c r="AK669" s="323"/>
      <c r="AL669" s="324"/>
      <c r="AM669" s="325"/>
      <c r="AN669" s="324"/>
    </row>
    <row r="670" spans="1:40">
      <c r="A670" s="199" t="s">
        <v>216</v>
      </c>
      <c r="B670" s="219" t="s">
        <v>13</v>
      </c>
      <c r="C670" s="199">
        <v>229300</v>
      </c>
      <c r="D670" s="201">
        <v>15</v>
      </c>
      <c r="E670" s="323">
        <v>5944</v>
      </c>
      <c r="F670" s="324">
        <v>6151</v>
      </c>
      <c r="G670" s="325">
        <v>17494</v>
      </c>
      <c r="H670" s="324">
        <v>20371</v>
      </c>
      <c r="I670" s="323">
        <v>5445.5999999999995</v>
      </c>
      <c r="J670" s="324">
        <v>5778</v>
      </c>
      <c r="K670" s="323">
        <v>14709.6</v>
      </c>
      <c r="L670" s="324">
        <v>15666</v>
      </c>
      <c r="M670" s="323"/>
      <c r="N670" s="324"/>
      <c r="O670" s="325"/>
      <c r="P670" s="324"/>
      <c r="Q670" s="323">
        <v>12128</v>
      </c>
      <c r="R670" s="324">
        <v>12159</v>
      </c>
      <c r="S670" s="325">
        <v>25228</v>
      </c>
      <c r="T670" s="324">
        <v>25259</v>
      </c>
      <c r="U670" s="323">
        <v>16575</v>
      </c>
      <c r="V670" s="324">
        <v>17573</v>
      </c>
      <c r="W670" s="325">
        <v>27375</v>
      </c>
      <c r="X670" s="324">
        <v>28373</v>
      </c>
      <c r="Y670" s="323"/>
      <c r="Z670" s="324"/>
      <c r="AA670" s="325"/>
      <c r="AB670" s="324"/>
      <c r="AC670" s="323"/>
      <c r="AD670" s="324"/>
      <c r="AE670" s="325"/>
      <c r="AF670" s="324"/>
      <c r="AG670" s="323"/>
      <c r="AH670" s="324"/>
      <c r="AI670" s="325"/>
      <c r="AJ670" s="324"/>
      <c r="AK670" s="323"/>
      <c r="AL670" s="324"/>
      <c r="AM670" s="325"/>
      <c r="AN670" s="324"/>
    </row>
    <row r="671" spans="1:40">
      <c r="A671" s="199" t="s">
        <v>216</v>
      </c>
      <c r="B671" s="219" t="s">
        <v>14</v>
      </c>
      <c r="C671" s="199">
        <v>228644</v>
      </c>
      <c r="D671" s="201">
        <v>15</v>
      </c>
      <c r="E671" s="323">
        <v>6034</v>
      </c>
      <c r="F671" s="324">
        <v>6404</v>
      </c>
      <c r="G671" s="325">
        <v>18212</v>
      </c>
      <c r="H671" s="324">
        <v>16572</v>
      </c>
      <c r="I671" s="323">
        <v>4912.8</v>
      </c>
      <c r="J671" s="324">
        <v>5788.8</v>
      </c>
      <c r="K671" s="323">
        <v>12741.6</v>
      </c>
      <c r="L671" s="324">
        <v>13111.199999999999</v>
      </c>
      <c r="M671" s="323"/>
      <c r="N671" s="324"/>
      <c r="O671" s="325"/>
      <c r="P671" s="324"/>
      <c r="Q671" s="323">
        <v>13450</v>
      </c>
      <c r="R671" s="324">
        <v>15170</v>
      </c>
      <c r="S671" s="325">
        <v>26550</v>
      </c>
      <c r="T671" s="324">
        <v>30357</v>
      </c>
      <c r="U671" s="323">
        <v>13110</v>
      </c>
      <c r="V671" s="324">
        <v>15325</v>
      </c>
      <c r="W671" s="325">
        <v>23910</v>
      </c>
      <c r="X671" s="324">
        <v>26125</v>
      </c>
      <c r="Y671" s="323"/>
      <c r="Z671" s="324"/>
      <c r="AA671" s="325"/>
      <c r="AB671" s="324"/>
      <c r="AC671" s="323"/>
      <c r="AD671" s="324"/>
      <c r="AE671" s="325"/>
      <c r="AF671" s="324"/>
      <c r="AG671" s="323"/>
      <c r="AH671" s="324"/>
      <c r="AI671" s="325"/>
      <c r="AJ671" s="324"/>
      <c r="AK671" s="323"/>
      <c r="AL671" s="324"/>
      <c r="AM671" s="325"/>
      <c r="AN671" s="324"/>
    </row>
    <row r="672" spans="1:40">
      <c r="A672" s="199" t="s">
        <v>216</v>
      </c>
      <c r="B672" s="219" t="s">
        <v>15</v>
      </c>
      <c r="C672" s="220">
        <v>25554</v>
      </c>
      <c r="D672" s="201">
        <v>15</v>
      </c>
      <c r="E672" s="323">
        <v>3701</v>
      </c>
      <c r="F672" s="324">
        <v>3661</v>
      </c>
      <c r="G672" s="325">
        <v>12131</v>
      </c>
      <c r="H672" s="324">
        <v>11971</v>
      </c>
      <c r="I672" s="323">
        <v>0</v>
      </c>
      <c r="J672" s="324">
        <v>0</v>
      </c>
      <c r="K672" s="323">
        <v>0</v>
      </c>
      <c r="L672" s="324">
        <v>0</v>
      </c>
      <c r="M672" s="323"/>
      <c r="N672" s="324"/>
      <c r="O672" s="325"/>
      <c r="P672" s="324"/>
      <c r="Q672" s="323"/>
      <c r="R672" s="324"/>
      <c r="S672" s="325"/>
      <c r="T672" s="324"/>
      <c r="U672" s="323"/>
      <c r="V672" s="324"/>
      <c r="W672" s="325"/>
      <c r="X672" s="324"/>
      <c r="Y672" s="323"/>
      <c r="Z672" s="324"/>
      <c r="AA672" s="325"/>
      <c r="AB672" s="324"/>
      <c r="AC672" s="323"/>
      <c r="AD672" s="324"/>
      <c r="AE672" s="325"/>
      <c r="AF672" s="324"/>
      <c r="AG672" s="323"/>
      <c r="AH672" s="324"/>
      <c r="AI672" s="325"/>
      <c r="AJ672" s="324"/>
      <c r="AK672" s="323"/>
      <c r="AL672" s="324"/>
      <c r="AM672" s="325"/>
      <c r="AN672" s="324"/>
    </row>
    <row r="673" spans="1:40">
      <c r="A673" s="199" t="s">
        <v>216</v>
      </c>
      <c r="B673" s="219" t="s">
        <v>16</v>
      </c>
      <c r="C673" s="199">
        <v>228653</v>
      </c>
      <c r="D673" s="201">
        <v>15</v>
      </c>
      <c r="E673" s="323">
        <v>5473</v>
      </c>
      <c r="F673" s="324">
        <v>5473</v>
      </c>
      <c r="G673" s="325">
        <v>13903</v>
      </c>
      <c r="H673" s="324">
        <v>13903</v>
      </c>
      <c r="I673" s="323">
        <v>4041.6</v>
      </c>
      <c r="J673" s="324">
        <v>4041.6</v>
      </c>
      <c r="K673" s="323">
        <v>10785.6</v>
      </c>
      <c r="L673" s="324">
        <v>10785.6</v>
      </c>
      <c r="M673" s="323"/>
      <c r="N673" s="324"/>
      <c r="O673" s="325"/>
      <c r="P673" s="324"/>
      <c r="Q673" s="323">
        <v>13353</v>
      </c>
      <c r="R673" s="324">
        <v>13353</v>
      </c>
      <c r="S673" s="325">
        <v>26453</v>
      </c>
      <c r="T673" s="324">
        <v>26453</v>
      </c>
      <c r="U673" s="323"/>
      <c r="V673" s="324"/>
      <c r="W673" s="325"/>
      <c r="X673" s="324"/>
      <c r="Y673" s="323"/>
      <c r="Z673" s="324"/>
      <c r="AA673" s="325"/>
      <c r="AB673" s="324"/>
      <c r="AC673" s="323"/>
      <c r="AD673" s="324"/>
      <c r="AE673" s="325"/>
      <c r="AF673" s="324"/>
      <c r="AG673" s="323"/>
      <c r="AH673" s="324"/>
      <c r="AI673" s="325"/>
      <c r="AJ673" s="324"/>
      <c r="AK673" s="323"/>
      <c r="AL673" s="324"/>
      <c r="AM673" s="325"/>
      <c r="AN673" s="324"/>
    </row>
    <row r="674" spans="1:40">
      <c r="A674" s="199" t="s">
        <v>216</v>
      </c>
      <c r="B674" s="219" t="s">
        <v>17</v>
      </c>
      <c r="C674" s="199">
        <v>228635</v>
      </c>
      <c r="D674" s="201">
        <v>15</v>
      </c>
      <c r="E674" s="323">
        <v>0</v>
      </c>
      <c r="F674" s="324">
        <v>0</v>
      </c>
      <c r="G674" s="325">
        <v>0</v>
      </c>
      <c r="H674" s="324">
        <v>0</v>
      </c>
      <c r="I674" s="323">
        <v>0</v>
      </c>
      <c r="J674" s="324">
        <v>0</v>
      </c>
      <c r="K674" s="323">
        <v>0</v>
      </c>
      <c r="L674" s="324">
        <v>0</v>
      </c>
      <c r="M674" s="323"/>
      <c r="N674" s="324"/>
      <c r="O674" s="325"/>
      <c r="P674" s="324"/>
      <c r="Q674" s="323">
        <v>13515</v>
      </c>
      <c r="R674" s="324">
        <v>14635</v>
      </c>
      <c r="S674" s="325">
        <v>26615</v>
      </c>
      <c r="T674" s="324">
        <v>27735</v>
      </c>
      <c r="U674" s="323"/>
      <c r="V674" s="324"/>
      <c r="W674" s="325"/>
      <c r="X674" s="324"/>
      <c r="Y674" s="323"/>
      <c r="Z674" s="324"/>
      <c r="AA674" s="325"/>
      <c r="AB674" s="324"/>
      <c r="AC674" s="323"/>
      <c r="AD674" s="324"/>
      <c r="AE674" s="325"/>
      <c r="AF674" s="324"/>
      <c r="AG674" s="323"/>
      <c r="AH674" s="324"/>
      <c r="AI674" s="325"/>
      <c r="AJ674" s="324"/>
      <c r="AK674" s="323"/>
      <c r="AL674" s="324"/>
      <c r="AM674" s="325"/>
      <c r="AN674" s="324"/>
    </row>
    <row r="675" spans="1:40">
      <c r="A675" s="194" t="s">
        <v>644</v>
      </c>
      <c r="B675" s="196" t="s">
        <v>463</v>
      </c>
      <c r="C675" s="197">
        <v>232186</v>
      </c>
      <c r="D675" s="238">
        <v>1</v>
      </c>
      <c r="E675" s="323">
        <v>7512</v>
      </c>
      <c r="F675" s="324">
        <f>5840+2184</f>
        <v>8024</v>
      </c>
      <c r="G675" s="325">
        <v>21648</v>
      </c>
      <c r="H675" s="324">
        <f>20936+2184</f>
        <v>23120</v>
      </c>
      <c r="I675" s="323">
        <v>8880</v>
      </c>
      <c r="J675" s="324">
        <f>7568+2184</f>
        <v>9752</v>
      </c>
      <c r="K675" s="323">
        <v>22272</v>
      </c>
      <c r="L675" s="324">
        <f>21704+2184</f>
        <v>23888</v>
      </c>
      <c r="M675" s="323">
        <v>18732</v>
      </c>
      <c r="N675" s="324">
        <f>18400+2156</f>
        <v>20556</v>
      </c>
      <c r="O675" s="325">
        <v>31948</v>
      </c>
      <c r="P675" s="324">
        <f>32064+2156</f>
        <v>34220</v>
      </c>
      <c r="Q675" s="323"/>
      <c r="R675" s="324"/>
      <c r="S675" s="325"/>
      <c r="T675" s="324"/>
      <c r="U675" s="323"/>
      <c r="V675" s="324"/>
      <c r="W675" s="325"/>
      <c r="X675" s="324"/>
      <c r="Y675" s="323"/>
      <c r="Z675" s="324"/>
      <c r="AA675" s="325"/>
      <c r="AB675" s="324"/>
      <c r="AC675" s="323"/>
      <c r="AD675" s="324"/>
      <c r="AE675" s="325"/>
      <c r="AF675" s="324"/>
      <c r="AG675" s="323"/>
      <c r="AH675" s="324"/>
      <c r="AI675" s="325"/>
      <c r="AJ675" s="324"/>
      <c r="AK675" s="323"/>
      <c r="AL675" s="324"/>
      <c r="AM675" s="325"/>
      <c r="AN675" s="324"/>
    </row>
    <row r="676" spans="1:40">
      <c r="A676" s="194" t="s">
        <v>644</v>
      </c>
      <c r="B676" s="462" t="s">
        <v>464</v>
      </c>
      <c r="C676" s="463">
        <v>232982</v>
      </c>
      <c r="D676" s="464">
        <v>1</v>
      </c>
      <c r="E676" s="323">
        <v>6918</v>
      </c>
      <c r="F676" s="324">
        <f>4412+2906</f>
        <v>7318</v>
      </c>
      <c r="G676" s="325">
        <v>18588</v>
      </c>
      <c r="H676" s="324">
        <f>16862+2906</f>
        <v>19768</v>
      </c>
      <c r="I676" s="323">
        <v>7902</v>
      </c>
      <c r="J676" s="324">
        <f>5982+2368</f>
        <v>8350</v>
      </c>
      <c r="K676" s="323">
        <v>19318</v>
      </c>
      <c r="L676" s="324">
        <f>18126+2368</f>
        <v>20494</v>
      </c>
      <c r="M676" s="323"/>
      <c r="N676" s="324"/>
      <c r="O676" s="325"/>
      <c r="P676" s="324"/>
      <c r="Q676" s="323"/>
      <c r="R676" s="324"/>
      <c r="S676" s="325"/>
      <c r="T676" s="324"/>
      <c r="U676" s="323"/>
      <c r="V676" s="324"/>
      <c r="W676" s="325"/>
      <c r="X676" s="324"/>
      <c r="Y676" s="323"/>
      <c r="Z676" s="324"/>
      <c r="AA676" s="325"/>
      <c r="AB676" s="324"/>
      <c r="AC676" s="323"/>
      <c r="AD676" s="324"/>
      <c r="AE676" s="325"/>
      <c r="AF676" s="324"/>
      <c r="AG676" s="323"/>
      <c r="AH676" s="324"/>
      <c r="AI676" s="325"/>
      <c r="AJ676" s="324"/>
      <c r="AK676" s="323"/>
      <c r="AL676" s="324"/>
      <c r="AM676" s="325"/>
      <c r="AN676" s="324"/>
    </row>
    <row r="677" spans="1:40">
      <c r="A677" s="194" t="s">
        <v>644</v>
      </c>
      <c r="B677" s="195" t="s">
        <v>460</v>
      </c>
      <c r="C677" s="194">
        <v>234076</v>
      </c>
      <c r="D677" s="154">
        <v>1</v>
      </c>
      <c r="E677" s="323">
        <v>9300</v>
      </c>
      <c r="F677" s="324">
        <f>7873+1799</f>
        <v>9672</v>
      </c>
      <c r="G677" s="325">
        <v>29600</v>
      </c>
      <c r="H677" s="324">
        <f>29873+1799</f>
        <v>31672</v>
      </c>
      <c r="I677" s="323">
        <v>12140</v>
      </c>
      <c r="J677" s="324">
        <f>10829+1799</f>
        <v>12628</v>
      </c>
      <c r="K677" s="323">
        <v>22140</v>
      </c>
      <c r="L677" s="324">
        <f>20829+1799</f>
        <v>22628</v>
      </c>
      <c r="M677" s="323">
        <v>36800</v>
      </c>
      <c r="N677" s="324">
        <f>36961+1839</f>
        <v>38800</v>
      </c>
      <c r="O677" s="325">
        <v>41800</v>
      </c>
      <c r="P677" s="324">
        <f>41961+1839</f>
        <v>43800</v>
      </c>
      <c r="Q677" s="323">
        <v>32650</v>
      </c>
      <c r="R677" s="324">
        <f>33300+1850</f>
        <v>35150</v>
      </c>
      <c r="S677" s="325">
        <v>42650</v>
      </c>
      <c r="T677" s="324">
        <f>43300+1850</f>
        <v>45150</v>
      </c>
      <c r="U677" s="323"/>
      <c r="V677" s="324"/>
      <c r="W677" s="325"/>
      <c r="X677" s="324"/>
      <c r="Y677" s="323"/>
      <c r="Z677" s="324"/>
      <c r="AA677" s="325"/>
      <c r="AB677" s="324"/>
      <c r="AC677" s="323"/>
      <c r="AD677" s="324"/>
      <c r="AE677" s="325"/>
      <c r="AF677" s="324"/>
      <c r="AG677" s="323"/>
      <c r="AH677" s="324"/>
      <c r="AI677" s="325"/>
      <c r="AJ677" s="324"/>
      <c r="AK677" s="323"/>
      <c r="AL677" s="324"/>
      <c r="AM677" s="325"/>
      <c r="AN677" s="324"/>
    </row>
    <row r="678" spans="1:40">
      <c r="A678" s="194" t="s">
        <v>644</v>
      </c>
      <c r="B678" s="195" t="s">
        <v>461</v>
      </c>
      <c r="C678" s="194">
        <v>233921</v>
      </c>
      <c r="D678" s="154">
        <v>1</v>
      </c>
      <c r="E678" s="323">
        <v>8198</v>
      </c>
      <c r="F678" s="324">
        <f>7240+1365</f>
        <v>8605</v>
      </c>
      <c r="G678" s="325">
        <v>20825</v>
      </c>
      <c r="H678" s="324">
        <f>20513+1365</f>
        <v>21878</v>
      </c>
      <c r="I678" s="323">
        <v>9735</v>
      </c>
      <c r="J678" s="324">
        <f>8863+1365</f>
        <v>10228</v>
      </c>
      <c r="K678" s="323">
        <v>16866</v>
      </c>
      <c r="L678" s="324">
        <f>16563+1365</f>
        <v>17928</v>
      </c>
      <c r="M678" s="323"/>
      <c r="N678" s="324"/>
      <c r="O678" s="325"/>
      <c r="P678" s="324"/>
      <c r="Q678" s="323"/>
      <c r="R678" s="324"/>
      <c r="S678" s="325"/>
      <c r="T678" s="324"/>
      <c r="U678" s="323"/>
      <c r="V678" s="324"/>
      <c r="W678" s="325"/>
      <c r="X678" s="324"/>
      <c r="Y678" s="323"/>
      <c r="Z678" s="324"/>
      <c r="AA678" s="325"/>
      <c r="AB678" s="324"/>
      <c r="AC678" s="323"/>
      <c r="AD678" s="324"/>
      <c r="AE678" s="325"/>
      <c r="AF678" s="324"/>
      <c r="AG678" s="323"/>
      <c r="AH678" s="324"/>
      <c r="AI678" s="325"/>
      <c r="AJ678" s="324"/>
      <c r="AK678" s="323">
        <v>17336</v>
      </c>
      <c r="AL678" s="324">
        <f>15900+2515</f>
        <v>18415</v>
      </c>
      <c r="AM678" s="325">
        <v>38270</v>
      </c>
      <c r="AN678" s="324">
        <f>38092+2515</f>
        <v>40607</v>
      </c>
    </row>
    <row r="679" spans="1:40">
      <c r="A679" s="194" t="s">
        <v>644</v>
      </c>
      <c r="B679" s="195" t="s">
        <v>462</v>
      </c>
      <c r="C679" s="194">
        <v>231624</v>
      </c>
      <c r="D679" s="154">
        <v>2</v>
      </c>
      <c r="E679" s="323">
        <v>10246</v>
      </c>
      <c r="F679" s="324">
        <f>6483+4317+300</f>
        <v>11100</v>
      </c>
      <c r="G679" s="325">
        <v>29326</v>
      </c>
      <c r="H679" s="324">
        <f>26647+4317+300</f>
        <v>31264</v>
      </c>
      <c r="I679" s="323">
        <v>10260</v>
      </c>
      <c r="J679" s="324">
        <f>6497+4017</f>
        <v>10514</v>
      </c>
      <c r="K679" s="323">
        <v>23790</v>
      </c>
      <c r="L679" s="324">
        <f>20187+4017</f>
        <v>24204</v>
      </c>
      <c r="M679" s="323">
        <v>20146</v>
      </c>
      <c r="N679" s="324">
        <f>17310+4336</f>
        <v>21646</v>
      </c>
      <c r="O679" s="325">
        <v>30346</v>
      </c>
      <c r="P679" s="324">
        <f>27510+4336</f>
        <v>31846</v>
      </c>
      <c r="Q679" s="323"/>
      <c r="R679" s="324"/>
      <c r="S679" s="325"/>
      <c r="T679" s="324"/>
      <c r="U679" s="323"/>
      <c r="V679" s="324"/>
      <c r="W679" s="325"/>
      <c r="X679" s="324"/>
      <c r="Y679" s="323"/>
      <c r="Z679" s="324"/>
      <c r="AA679" s="325"/>
      <c r="AB679" s="324"/>
      <c r="AC679" s="323"/>
      <c r="AD679" s="324"/>
      <c r="AE679" s="325"/>
      <c r="AF679" s="324"/>
      <c r="AG679" s="323"/>
      <c r="AH679" s="324"/>
      <c r="AI679" s="325"/>
      <c r="AJ679" s="324"/>
      <c r="AK679" s="323"/>
      <c r="AL679" s="324"/>
      <c r="AM679" s="325"/>
      <c r="AN679" s="324"/>
    </row>
    <row r="680" spans="1:40">
      <c r="A680" s="194" t="s">
        <v>644</v>
      </c>
      <c r="B680" s="449" t="s">
        <v>1115</v>
      </c>
      <c r="C680" s="194">
        <v>234030</v>
      </c>
      <c r="D680" s="154">
        <v>2</v>
      </c>
      <c r="E680" s="323">
        <v>6779</v>
      </c>
      <c r="F680" s="324">
        <f>5253+1864</f>
        <v>7117</v>
      </c>
      <c r="G680" s="325">
        <v>19724</v>
      </c>
      <c r="H680" s="324">
        <f>18885+1864</f>
        <v>20749</v>
      </c>
      <c r="I680" s="323">
        <v>9478</v>
      </c>
      <c r="J680" s="324">
        <f>8184+1830</f>
        <v>10014</v>
      </c>
      <c r="K680" s="323">
        <v>18211</v>
      </c>
      <c r="L680" s="324">
        <f>17347+1830</f>
        <v>19177</v>
      </c>
      <c r="M680" s="323"/>
      <c r="N680" s="324"/>
      <c r="O680" s="325"/>
      <c r="P680" s="324"/>
      <c r="Q680" s="323">
        <v>27720</v>
      </c>
      <c r="R680" s="324">
        <f>26676+1890</f>
        <v>28566</v>
      </c>
      <c r="S680" s="325">
        <v>41525</v>
      </c>
      <c r="T680" s="324">
        <f>41130+1890</f>
        <v>43020</v>
      </c>
      <c r="U680" s="323">
        <v>26028</v>
      </c>
      <c r="V680" s="324">
        <f>27220+1920</f>
        <v>29140</v>
      </c>
      <c r="W680" s="325">
        <v>45337</v>
      </c>
      <c r="X680" s="324">
        <f>50169+1920</f>
        <v>52089</v>
      </c>
      <c r="Y680" s="323">
        <v>20805</v>
      </c>
      <c r="Z680" s="324">
        <f>20562+1860</f>
        <v>22422</v>
      </c>
      <c r="AA680" s="325">
        <v>27727</v>
      </c>
      <c r="AB680" s="324">
        <f>28772+1860</f>
        <v>30632</v>
      </c>
      <c r="AC680" s="323"/>
      <c r="AD680" s="324"/>
      <c r="AE680" s="325"/>
      <c r="AF680" s="324"/>
      <c r="AG680" s="323"/>
      <c r="AH680" s="324"/>
      <c r="AI680" s="325"/>
      <c r="AJ680" s="324"/>
      <c r="AK680" s="323"/>
      <c r="AL680" s="324"/>
      <c r="AM680" s="325"/>
      <c r="AN680" s="324"/>
    </row>
    <row r="681" spans="1:40">
      <c r="A681" s="194" t="s">
        <v>644</v>
      </c>
      <c r="B681" s="196" t="s">
        <v>465</v>
      </c>
      <c r="C681" s="197">
        <v>232423</v>
      </c>
      <c r="D681" s="154">
        <v>3</v>
      </c>
      <c r="E681" s="323">
        <v>6964</v>
      </c>
      <c r="F681" s="324">
        <f>3734+3510</f>
        <v>7244</v>
      </c>
      <c r="G681" s="325">
        <v>18458</v>
      </c>
      <c r="H681" s="324">
        <f>15866+3510</f>
        <v>19376</v>
      </c>
      <c r="I681" s="323">
        <v>7008</v>
      </c>
      <c r="J681" s="324">
        <f>6432+888</f>
        <v>7320</v>
      </c>
      <c r="K681" s="323">
        <v>20352</v>
      </c>
      <c r="L681" s="324">
        <f>20472+888</f>
        <v>21360</v>
      </c>
      <c r="M681" s="323"/>
      <c r="N681" s="324"/>
      <c r="O681" s="325"/>
      <c r="P681" s="324"/>
      <c r="Q681" s="323"/>
      <c r="R681" s="324"/>
      <c r="S681" s="325"/>
      <c r="T681" s="324"/>
      <c r="U681" s="323"/>
      <c r="V681" s="324"/>
      <c r="W681" s="325"/>
      <c r="X681" s="324"/>
      <c r="Y681" s="323"/>
      <c r="Z681" s="324"/>
      <c r="AA681" s="325"/>
      <c r="AB681" s="324"/>
      <c r="AC681" s="323"/>
      <c r="AD681" s="324"/>
      <c r="AE681" s="325"/>
      <c r="AF681" s="324"/>
      <c r="AG681" s="323"/>
      <c r="AH681" s="324"/>
      <c r="AI681" s="325"/>
      <c r="AJ681" s="324"/>
      <c r="AK681" s="323"/>
      <c r="AL681" s="324"/>
      <c r="AM681" s="325"/>
      <c r="AN681" s="324"/>
    </row>
    <row r="682" spans="1:40">
      <c r="A682" s="194" t="s">
        <v>644</v>
      </c>
      <c r="B682" s="462" t="s">
        <v>468</v>
      </c>
      <c r="C682" s="463">
        <v>232937</v>
      </c>
      <c r="D682" s="464">
        <v>3</v>
      </c>
      <c r="E682" s="323">
        <v>5560</v>
      </c>
      <c r="F682" s="324">
        <f>2952+2920</f>
        <v>5872</v>
      </c>
      <c r="G682" s="325">
        <v>16807</v>
      </c>
      <c r="H682" s="324">
        <f>15011+2920</f>
        <v>17931</v>
      </c>
      <c r="I682" s="323">
        <v>7658</v>
      </c>
      <c r="J682" s="324">
        <f>5149+2920</f>
        <v>8069</v>
      </c>
      <c r="K682" s="323">
        <v>22457</v>
      </c>
      <c r="L682" s="324">
        <f>20884+2920</f>
        <v>23804</v>
      </c>
      <c r="M682" s="323"/>
      <c r="N682" s="324"/>
      <c r="O682" s="325"/>
      <c r="P682" s="324"/>
      <c r="Q682" s="323"/>
      <c r="R682" s="324"/>
      <c r="S682" s="325"/>
      <c r="T682" s="324"/>
      <c r="U682" s="323"/>
      <c r="V682" s="324"/>
      <c r="W682" s="325"/>
      <c r="X682" s="324"/>
      <c r="Y682" s="323"/>
      <c r="Z682" s="324"/>
      <c r="AA682" s="325"/>
      <c r="AB682" s="324"/>
      <c r="AC682" s="323"/>
      <c r="AD682" s="324"/>
      <c r="AE682" s="325"/>
      <c r="AF682" s="324"/>
      <c r="AG682" s="323"/>
      <c r="AH682" s="324"/>
      <c r="AI682" s="325"/>
      <c r="AJ682" s="324"/>
      <c r="AK682" s="323"/>
      <c r="AL682" s="324"/>
      <c r="AM682" s="325"/>
      <c r="AN682" s="324"/>
    </row>
    <row r="683" spans="1:40">
      <c r="A683" s="194" t="s">
        <v>644</v>
      </c>
      <c r="B683" s="462" t="s">
        <v>466</v>
      </c>
      <c r="C683" s="463">
        <v>233277</v>
      </c>
      <c r="D683" s="464">
        <v>4</v>
      </c>
      <c r="E683" s="323">
        <v>6536</v>
      </c>
      <c r="F683" s="324">
        <f>4396+2508</f>
        <v>6904</v>
      </c>
      <c r="G683" s="325">
        <v>15550</v>
      </c>
      <c r="H683" s="324">
        <f>14060+2508</f>
        <v>16568</v>
      </c>
      <c r="I683" s="323">
        <v>7194</v>
      </c>
      <c r="J683" s="324">
        <f>5086+2508</f>
        <v>7594</v>
      </c>
      <c r="K683" s="323">
        <v>13832</v>
      </c>
      <c r="L683" s="324">
        <f>12608+2508</f>
        <v>15116</v>
      </c>
      <c r="M683" s="323"/>
      <c r="N683" s="324"/>
      <c r="O683" s="325"/>
      <c r="P683" s="324"/>
      <c r="Q683" s="323"/>
      <c r="R683" s="324"/>
      <c r="S683" s="325"/>
      <c r="T683" s="324"/>
      <c r="U683" s="323"/>
      <c r="V683" s="324"/>
      <c r="W683" s="325"/>
      <c r="X683" s="324"/>
      <c r="Y683" s="323"/>
      <c r="Z683" s="324"/>
      <c r="AA683" s="325"/>
      <c r="AB683" s="324"/>
      <c r="AC683" s="323"/>
      <c r="AD683" s="324"/>
      <c r="AE683" s="325"/>
      <c r="AF683" s="324"/>
      <c r="AG683" s="323"/>
      <c r="AH683" s="324"/>
      <c r="AI683" s="325"/>
      <c r="AJ683" s="324"/>
      <c r="AK683" s="323"/>
      <c r="AL683" s="324"/>
      <c r="AM683" s="325"/>
      <c r="AN683" s="324"/>
    </row>
    <row r="684" spans="1:40">
      <c r="A684" s="194" t="s">
        <v>644</v>
      </c>
      <c r="B684" s="196" t="s">
        <v>469</v>
      </c>
      <c r="C684" s="194">
        <v>234155</v>
      </c>
      <c r="D684" s="154">
        <v>4</v>
      </c>
      <c r="E684" s="323">
        <v>5903</v>
      </c>
      <c r="F684" s="324">
        <f>3584+2590</f>
        <v>6174</v>
      </c>
      <c r="G684" s="325">
        <v>14018</v>
      </c>
      <c r="H684" s="324">
        <f>11918+2590</f>
        <v>14508</v>
      </c>
      <c r="I684" s="323">
        <v>7094</v>
      </c>
      <c r="J684" s="324">
        <f>5274+2090</f>
        <v>7364</v>
      </c>
      <c r="K684" s="323">
        <v>15042</v>
      </c>
      <c r="L684" s="324">
        <f>13372+2090</f>
        <v>15462</v>
      </c>
      <c r="M684" s="323"/>
      <c r="N684" s="324"/>
      <c r="O684" s="325"/>
      <c r="P684" s="324"/>
      <c r="Q684" s="323"/>
      <c r="R684" s="324"/>
      <c r="S684" s="325"/>
      <c r="T684" s="324"/>
      <c r="U684" s="323"/>
      <c r="V684" s="324"/>
      <c r="W684" s="325"/>
      <c r="X684" s="324"/>
      <c r="Y684" s="323"/>
      <c r="Z684" s="324"/>
      <c r="AA684" s="325"/>
      <c r="AB684" s="324"/>
      <c r="AC684" s="323"/>
      <c r="AD684" s="324"/>
      <c r="AE684" s="325"/>
      <c r="AF684" s="324"/>
      <c r="AG684" s="323"/>
      <c r="AH684" s="324"/>
      <c r="AI684" s="325"/>
      <c r="AJ684" s="324"/>
      <c r="AK684" s="323"/>
      <c r="AL684" s="324"/>
      <c r="AM684" s="325"/>
      <c r="AN684" s="324"/>
    </row>
    <row r="685" spans="1:40">
      <c r="A685" s="194" t="s">
        <v>644</v>
      </c>
      <c r="B685" s="462" t="s">
        <v>467</v>
      </c>
      <c r="C685" s="463">
        <v>231712</v>
      </c>
      <c r="D685" s="464">
        <v>5</v>
      </c>
      <c r="E685" s="323">
        <v>7550</v>
      </c>
      <c r="F685" s="324">
        <f>4414+3636+200</f>
        <v>8250</v>
      </c>
      <c r="G685" s="325">
        <v>14930</v>
      </c>
      <c r="H685" s="324">
        <f>12356+3636</f>
        <v>15992</v>
      </c>
      <c r="I685" s="323"/>
      <c r="J685" s="324"/>
      <c r="K685" s="323"/>
      <c r="L685" s="324"/>
      <c r="M685" s="323"/>
      <c r="N685" s="324"/>
      <c r="O685" s="325"/>
      <c r="P685" s="324"/>
      <c r="Q685" s="323"/>
      <c r="R685" s="324"/>
      <c r="S685" s="325"/>
      <c r="T685" s="324"/>
      <c r="U685" s="323"/>
      <c r="V685" s="324"/>
      <c r="W685" s="325"/>
      <c r="X685" s="324"/>
      <c r="Y685" s="323"/>
      <c r="Z685" s="324"/>
      <c r="AA685" s="325"/>
      <c r="AB685" s="324"/>
      <c r="AC685" s="323"/>
      <c r="AD685" s="324"/>
      <c r="AE685" s="325"/>
      <c r="AF685" s="324"/>
      <c r="AG685" s="323"/>
      <c r="AH685" s="324"/>
      <c r="AI685" s="325"/>
      <c r="AJ685" s="324"/>
      <c r="AK685" s="323"/>
      <c r="AL685" s="324"/>
      <c r="AM685" s="325"/>
      <c r="AN685" s="324"/>
    </row>
    <row r="686" spans="1:40">
      <c r="A686" s="194" t="s">
        <v>644</v>
      </c>
      <c r="B686" s="449" t="s">
        <v>470</v>
      </c>
      <c r="C686" s="197">
        <v>232566</v>
      </c>
      <c r="D686" s="154">
        <v>5</v>
      </c>
      <c r="E686" s="323">
        <v>8499</v>
      </c>
      <c r="F686" s="324">
        <f>4725+4200+105+1</f>
        <v>9031</v>
      </c>
      <c r="G686" s="325">
        <v>17112</v>
      </c>
      <c r="H686" s="324">
        <f>14025+4200</f>
        <v>18225</v>
      </c>
      <c r="I686" s="323">
        <v>7354</v>
      </c>
      <c r="J686" s="324">
        <f>5076+2640</f>
        <v>7716</v>
      </c>
      <c r="K686" s="323">
        <v>15994</v>
      </c>
      <c r="L686" s="324">
        <f>14340+2640</f>
        <v>16980</v>
      </c>
      <c r="M686" s="323"/>
      <c r="N686" s="324"/>
      <c r="O686" s="325"/>
      <c r="P686" s="324"/>
      <c r="Q686" s="323"/>
      <c r="R686" s="324"/>
      <c r="S686" s="325"/>
      <c r="T686" s="324"/>
      <c r="U686" s="323"/>
      <c r="V686" s="324"/>
      <c r="W686" s="325"/>
      <c r="X686" s="324"/>
      <c r="Y686" s="323"/>
      <c r="Z686" s="324"/>
      <c r="AA686" s="325"/>
      <c r="AB686" s="324"/>
      <c r="AC686" s="323"/>
      <c r="AD686" s="324"/>
      <c r="AE686" s="325"/>
      <c r="AF686" s="324"/>
      <c r="AG686" s="323"/>
      <c r="AH686" s="324"/>
      <c r="AI686" s="325"/>
      <c r="AJ686" s="324"/>
      <c r="AK686" s="323"/>
      <c r="AL686" s="324"/>
      <c r="AM686" s="325"/>
      <c r="AN686" s="324"/>
    </row>
    <row r="687" spans="1:40">
      <c r="A687" s="194" t="s">
        <v>644</v>
      </c>
      <c r="B687" s="196" t="s">
        <v>471</v>
      </c>
      <c r="C687" s="197">
        <v>232681</v>
      </c>
      <c r="D687" s="154">
        <v>5</v>
      </c>
      <c r="E687" s="323">
        <v>6774</v>
      </c>
      <c r="F687" s="324">
        <f>4946+2166+100</f>
        <v>7212</v>
      </c>
      <c r="G687" s="325">
        <v>17942</v>
      </c>
      <c r="H687" s="324">
        <f>16674+2166</f>
        <v>18840</v>
      </c>
      <c r="I687" s="323">
        <v>5472</v>
      </c>
      <c r="J687" s="324">
        <f>4644+1116</f>
        <v>5760</v>
      </c>
      <c r="K687" s="323">
        <v>12650</v>
      </c>
      <c r="L687" s="324">
        <f>12250+1116</f>
        <v>13366</v>
      </c>
      <c r="M687" s="323"/>
      <c r="N687" s="324"/>
      <c r="O687" s="325"/>
      <c r="P687" s="324"/>
      <c r="Q687" s="323"/>
      <c r="R687" s="324"/>
      <c r="S687" s="325"/>
      <c r="T687" s="324"/>
      <c r="U687" s="323"/>
      <c r="V687" s="324"/>
      <c r="W687" s="325"/>
      <c r="X687" s="324"/>
      <c r="Y687" s="323"/>
      <c r="Z687" s="324"/>
      <c r="AA687" s="325"/>
      <c r="AB687" s="324"/>
      <c r="AC687" s="323"/>
      <c r="AD687" s="324"/>
      <c r="AE687" s="325"/>
      <c r="AF687" s="324"/>
      <c r="AG687" s="323"/>
      <c r="AH687" s="324"/>
      <c r="AI687" s="325"/>
      <c r="AJ687" s="324"/>
      <c r="AK687" s="323"/>
      <c r="AL687" s="324"/>
      <c r="AM687" s="325"/>
      <c r="AN687" s="324"/>
    </row>
    <row r="688" spans="1:40">
      <c r="A688" s="194" t="s">
        <v>644</v>
      </c>
      <c r="B688" s="195" t="s">
        <v>472</v>
      </c>
      <c r="C688" s="194">
        <v>233897</v>
      </c>
      <c r="D688" s="154">
        <v>6</v>
      </c>
      <c r="E688" s="323">
        <v>6439</v>
      </c>
      <c r="F688" s="324">
        <f>3696+3052</f>
        <v>6748</v>
      </c>
      <c r="G688" s="325">
        <v>18313</v>
      </c>
      <c r="H688" s="324">
        <f>16224+3052</f>
        <v>19276</v>
      </c>
      <c r="I688" s="323"/>
      <c r="J688" s="324"/>
      <c r="K688" s="323"/>
      <c r="L688" s="324"/>
      <c r="M688" s="323"/>
      <c r="N688" s="324"/>
      <c r="O688" s="325"/>
      <c r="P688" s="324"/>
      <c r="Q688" s="323"/>
      <c r="R688" s="324"/>
      <c r="S688" s="325"/>
      <c r="T688" s="324"/>
      <c r="U688" s="323"/>
      <c r="V688" s="324"/>
      <c r="W688" s="325"/>
      <c r="X688" s="324"/>
      <c r="Y688" s="323"/>
      <c r="Z688" s="324"/>
      <c r="AA688" s="325"/>
      <c r="AB688" s="324"/>
      <c r="AC688" s="323"/>
      <c r="AD688" s="324"/>
      <c r="AE688" s="325"/>
      <c r="AF688" s="324"/>
      <c r="AG688" s="323"/>
      <c r="AH688" s="324"/>
      <c r="AI688" s="325"/>
      <c r="AJ688" s="324"/>
      <c r="AK688" s="323"/>
      <c r="AL688" s="324"/>
      <c r="AM688" s="325"/>
      <c r="AN688" s="324"/>
    </row>
    <row r="689" spans="1:45">
      <c r="A689" s="194" t="s">
        <v>644</v>
      </c>
      <c r="B689" s="196" t="s">
        <v>473</v>
      </c>
      <c r="C689" s="197">
        <v>232414</v>
      </c>
      <c r="D689" s="154">
        <v>8</v>
      </c>
      <c r="E689" s="323">
        <v>2584</v>
      </c>
      <c r="F689" s="324">
        <f>2767+14+87.6</f>
        <v>2868.6</v>
      </c>
      <c r="G689" s="325">
        <v>7839</v>
      </c>
      <c r="H689" s="324">
        <f>8230+14</f>
        <v>8244</v>
      </c>
      <c r="I689" s="323"/>
      <c r="J689" s="324"/>
      <c r="K689" s="323"/>
      <c r="L689" s="324"/>
      <c r="M689" s="323"/>
      <c r="N689" s="324"/>
      <c r="O689" s="325"/>
      <c r="P689" s="324"/>
      <c r="Q689" s="323"/>
      <c r="R689" s="324"/>
      <c r="S689" s="325"/>
      <c r="T689" s="324"/>
      <c r="U689" s="323"/>
      <c r="V689" s="324"/>
      <c r="W689" s="325"/>
      <c r="X689" s="324"/>
      <c r="Y689" s="323"/>
      <c r="Z689" s="324"/>
      <c r="AA689" s="325"/>
      <c r="AB689" s="324"/>
      <c r="AC689" s="323"/>
      <c r="AD689" s="324"/>
      <c r="AE689" s="325"/>
      <c r="AF689" s="324"/>
      <c r="AG689" s="323"/>
      <c r="AH689" s="324"/>
      <c r="AI689" s="325"/>
      <c r="AJ689" s="324"/>
      <c r="AK689" s="323"/>
      <c r="AL689" s="324"/>
      <c r="AM689" s="325"/>
      <c r="AN689" s="324"/>
    </row>
    <row r="690" spans="1:45">
      <c r="A690" s="194" t="s">
        <v>644</v>
      </c>
      <c r="B690" s="196" t="s">
        <v>474</v>
      </c>
      <c r="C690" s="197">
        <v>232946</v>
      </c>
      <c r="D690" s="154">
        <v>8</v>
      </c>
      <c r="E690" s="323">
        <v>2584</v>
      </c>
      <c r="F690" s="324">
        <f>2767+14+87.6</f>
        <v>2868.6</v>
      </c>
      <c r="G690" s="325">
        <v>7839</v>
      </c>
      <c r="H690" s="324">
        <f>8230+14</f>
        <v>8244</v>
      </c>
      <c r="I690" s="323"/>
      <c r="J690" s="324"/>
      <c r="K690" s="323"/>
      <c r="L690" s="324"/>
      <c r="M690" s="323"/>
      <c r="N690" s="324"/>
      <c r="O690" s="325"/>
      <c r="P690" s="324"/>
      <c r="Q690" s="323"/>
      <c r="R690" s="324"/>
      <c r="S690" s="325"/>
      <c r="T690" s="324"/>
      <c r="U690" s="323"/>
      <c r="V690" s="324"/>
      <c r="W690" s="325"/>
      <c r="X690" s="324"/>
      <c r="Y690" s="323"/>
      <c r="Z690" s="324"/>
      <c r="AA690" s="325"/>
      <c r="AB690" s="324"/>
      <c r="AC690" s="323"/>
      <c r="AD690" s="324"/>
      <c r="AE690" s="325"/>
      <c r="AF690" s="324"/>
      <c r="AG690" s="323"/>
      <c r="AH690" s="324"/>
      <c r="AI690" s="325"/>
      <c r="AJ690" s="324"/>
      <c r="AK690" s="323"/>
      <c r="AL690" s="324"/>
      <c r="AM690" s="325"/>
      <c r="AN690" s="324"/>
    </row>
    <row r="691" spans="1:45">
      <c r="A691" s="194" t="s">
        <v>644</v>
      </c>
      <c r="B691" s="196" t="s">
        <v>475</v>
      </c>
      <c r="C691" s="194">
        <v>233754</v>
      </c>
      <c r="D691" s="154">
        <v>8</v>
      </c>
      <c r="E691" s="323">
        <v>2584</v>
      </c>
      <c r="F691" s="324">
        <f>2767+14+87.6</f>
        <v>2868.6</v>
      </c>
      <c r="G691" s="325">
        <v>7839</v>
      </c>
      <c r="H691" s="324">
        <f>8230+14</f>
        <v>8244</v>
      </c>
      <c r="I691" s="323"/>
      <c r="J691" s="324"/>
      <c r="K691" s="323"/>
      <c r="L691" s="324"/>
      <c r="M691" s="323"/>
      <c r="N691" s="324"/>
      <c r="O691" s="325"/>
      <c r="P691" s="324"/>
      <c r="Q691" s="323"/>
      <c r="R691" s="324"/>
      <c r="S691" s="325"/>
      <c r="T691" s="324"/>
      <c r="U691" s="323"/>
      <c r="V691" s="324"/>
      <c r="W691" s="325"/>
      <c r="X691" s="324"/>
      <c r="Y691" s="323"/>
      <c r="Z691" s="324"/>
      <c r="AA691" s="325"/>
      <c r="AB691" s="324"/>
      <c r="AC691" s="323"/>
      <c r="AD691" s="324"/>
      <c r="AE691" s="325"/>
      <c r="AF691" s="324"/>
      <c r="AG691" s="323"/>
      <c r="AH691" s="324"/>
      <c r="AI691" s="325"/>
      <c r="AJ691" s="324"/>
      <c r="AK691" s="323"/>
      <c r="AL691" s="324"/>
      <c r="AM691" s="325"/>
      <c r="AN691" s="324"/>
    </row>
    <row r="692" spans="1:45">
      <c r="A692" s="194" t="s">
        <v>644</v>
      </c>
      <c r="B692" s="195" t="s">
        <v>476</v>
      </c>
      <c r="C692" s="194">
        <v>233772</v>
      </c>
      <c r="D692" s="154">
        <v>8</v>
      </c>
      <c r="E692" s="323">
        <v>2584</v>
      </c>
      <c r="F692" s="324">
        <f>2767+14+87.6</f>
        <v>2868.6</v>
      </c>
      <c r="G692" s="325">
        <v>7839</v>
      </c>
      <c r="H692" s="324">
        <f>8230+14</f>
        <v>8244</v>
      </c>
      <c r="I692" s="323"/>
      <c r="J692" s="324"/>
      <c r="K692" s="323"/>
      <c r="L692" s="324"/>
      <c r="M692" s="323"/>
      <c r="N692" s="324"/>
      <c r="O692" s="325"/>
      <c r="P692" s="324"/>
      <c r="Q692" s="323"/>
      <c r="R692" s="324"/>
      <c r="S692" s="325"/>
      <c r="T692" s="324"/>
      <c r="U692" s="323"/>
      <c r="V692" s="324"/>
      <c r="W692" s="325"/>
      <c r="X692" s="324"/>
      <c r="Y692" s="323"/>
      <c r="Z692" s="324"/>
      <c r="AA692" s="325"/>
      <c r="AB692" s="324"/>
      <c r="AC692" s="323"/>
      <c r="AD692" s="324"/>
      <c r="AE692" s="325"/>
      <c r="AF692" s="324"/>
      <c r="AG692" s="323"/>
      <c r="AH692" s="324"/>
      <c r="AI692" s="325"/>
      <c r="AJ692" s="324"/>
      <c r="AK692" s="323"/>
      <c r="AL692" s="324"/>
      <c r="AM692" s="325"/>
      <c r="AN692" s="324"/>
    </row>
    <row r="693" spans="1:45">
      <c r="A693" s="194" t="s">
        <v>644</v>
      </c>
      <c r="B693" s="195" t="s">
        <v>477</v>
      </c>
      <c r="C693" s="194">
        <v>231536</v>
      </c>
      <c r="D693" s="154">
        <v>9</v>
      </c>
      <c r="E693" s="323">
        <v>2584</v>
      </c>
      <c r="F693" s="324">
        <f>2767+14+87.6</f>
        <v>2868.6</v>
      </c>
      <c r="G693" s="325">
        <v>7839</v>
      </c>
      <c r="H693" s="324">
        <f>8230+14</f>
        <v>8244</v>
      </c>
      <c r="I693" s="323"/>
      <c r="J693" s="324"/>
      <c r="K693" s="323"/>
      <c r="L693" s="324"/>
      <c r="M693" s="323"/>
      <c r="N693" s="324"/>
      <c r="O693" s="325"/>
      <c r="P693" s="324"/>
      <c r="Q693" s="323"/>
      <c r="R693" s="324"/>
      <c r="S693" s="325"/>
      <c r="T693" s="324"/>
      <c r="U693" s="323"/>
      <c r="V693" s="324"/>
      <c r="W693" s="325"/>
      <c r="X693" s="324"/>
      <c r="Y693" s="323"/>
      <c r="Z693" s="324"/>
      <c r="AA693" s="325"/>
      <c r="AB693" s="324"/>
      <c r="AC693" s="323"/>
      <c r="AD693" s="324"/>
      <c r="AE693" s="325"/>
      <c r="AF693" s="324"/>
      <c r="AG693" s="323"/>
      <c r="AH693" s="324"/>
      <c r="AI693" s="325"/>
      <c r="AJ693" s="324"/>
      <c r="AK693" s="323"/>
      <c r="AL693" s="324"/>
      <c r="AM693" s="325"/>
      <c r="AN693" s="324"/>
    </row>
    <row r="694" spans="1:45">
      <c r="A694" s="194" t="s">
        <v>644</v>
      </c>
      <c r="B694" s="195" t="s">
        <v>478</v>
      </c>
      <c r="C694" s="194">
        <v>231697</v>
      </c>
      <c r="D694" s="154">
        <v>9</v>
      </c>
      <c r="E694" s="323">
        <v>2584</v>
      </c>
      <c r="F694" s="324">
        <f>2767+14+87.6</f>
        <v>2868.6</v>
      </c>
      <c r="G694" s="325">
        <v>7839</v>
      </c>
      <c r="H694" s="324">
        <f>8230+14</f>
        <v>8244</v>
      </c>
      <c r="I694" s="323"/>
      <c r="J694" s="324"/>
      <c r="K694" s="323"/>
      <c r="L694" s="324"/>
      <c r="M694" s="323"/>
      <c r="N694" s="324"/>
      <c r="O694" s="325"/>
      <c r="P694" s="324"/>
      <c r="Q694" s="323"/>
      <c r="R694" s="324"/>
      <c r="S694" s="325"/>
      <c r="T694" s="324"/>
      <c r="U694" s="323"/>
      <c r="V694" s="324"/>
      <c r="W694" s="325"/>
      <c r="X694" s="324"/>
      <c r="Y694" s="323"/>
      <c r="Z694" s="324"/>
      <c r="AA694" s="325"/>
      <c r="AB694" s="324"/>
      <c r="AC694" s="323"/>
      <c r="AD694" s="324"/>
      <c r="AE694" s="325"/>
      <c r="AF694" s="324"/>
      <c r="AG694" s="323"/>
      <c r="AH694" s="324"/>
      <c r="AI694" s="325"/>
      <c r="AJ694" s="324"/>
      <c r="AK694" s="323"/>
      <c r="AL694" s="324"/>
      <c r="AM694" s="325"/>
      <c r="AN694" s="324"/>
    </row>
    <row r="695" spans="1:45">
      <c r="A695" s="194" t="s">
        <v>644</v>
      </c>
      <c r="B695" s="195" t="s">
        <v>479</v>
      </c>
      <c r="C695" s="194">
        <v>231882</v>
      </c>
      <c r="D695" s="154">
        <v>9</v>
      </c>
      <c r="E695" s="323">
        <v>2584</v>
      </c>
      <c r="F695" s="324">
        <f>2767+14+87.6</f>
        <v>2868.6</v>
      </c>
      <c r="G695" s="325">
        <v>7839</v>
      </c>
      <c r="H695" s="324">
        <f>8230+14</f>
        <v>8244</v>
      </c>
      <c r="I695" s="323"/>
      <c r="J695" s="324"/>
      <c r="K695" s="323"/>
      <c r="L695" s="324"/>
      <c r="M695" s="323"/>
      <c r="N695" s="324"/>
      <c r="O695" s="325"/>
      <c r="P695" s="324"/>
      <c r="Q695" s="323"/>
      <c r="R695" s="324"/>
      <c r="S695" s="325"/>
      <c r="T695" s="324"/>
      <c r="U695" s="323"/>
      <c r="V695" s="324"/>
      <c r="W695" s="325"/>
      <c r="X695" s="324"/>
      <c r="Y695" s="323"/>
      <c r="Z695" s="324"/>
      <c r="AA695" s="325"/>
      <c r="AB695" s="324"/>
      <c r="AC695" s="323"/>
      <c r="AD695" s="324"/>
      <c r="AE695" s="325"/>
      <c r="AF695" s="324"/>
      <c r="AG695" s="323"/>
      <c r="AH695" s="324"/>
      <c r="AI695" s="325"/>
      <c r="AJ695" s="324"/>
      <c r="AK695" s="323"/>
      <c r="AL695" s="324"/>
      <c r="AM695" s="325"/>
      <c r="AN695" s="324"/>
    </row>
    <row r="696" spans="1:45">
      <c r="A696" s="194" t="s">
        <v>644</v>
      </c>
      <c r="B696" s="196" t="s">
        <v>480</v>
      </c>
      <c r="C696" s="197">
        <v>232195</v>
      </c>
      <c r="D696" s="154">
        <v>9</v>
      </c>
      <c r="E696" s="323">
        <v>2584</v>
      </c>
      <c r="F696" s="324">
        <f>2767+14+87.6</f>
        <v>2868.6</v>
      </c>
      <c r="G696" s="325">
        <v>7839</v>
      </c>
      <c r="H696" s="324">
        <f>8230+14</f>
        <v>8244</v>
      </c>
      <c r="I696" s="323"/>
      <c r="J696" s="324"/>
      <c r="K696" s="323"/>
      <c r="L696" s="324"/>
      <c r="M696" s="323"/>
      <c r="N696" s="324"/>
      <c r="O696" s="325"/>
      <c r="P696" s="324"/>
      <c r="Q696" s="323"/>
      <c r="R696" s="324"/>
      <c r="S696" s="325"/>
      <c r="T696" s="324"/>
      <c r="U696" s="323"/>
      <c r="V696" s="324"/>
      <c r="W696" s="325"/>
      <c r="X696" s="324"/>
      <c r="Y696" s="323"/>
      <c r="Z696" s="324"/>
      <c r="AA696" s="325"/>
      <c r="AB696" s="324"/>
      <c r="AC696" s="323"/>
      <c r="AD696" s="324"/>
      <c r="AE696" s="325"/>
      <c r="AF696" s="324"/>
      <c r="AG696" s="323"/>
      <c r="AH696" s="324"/>
      <c r="AI696" s="325"/>
      <c r="AJ696" s="324"/>
      <c r="AK696" s="323"/>
      <c r="AL696" s="324"/>
      <c r="AM696" s="325"/>
      <c r="AN696" s="324"/>
    </row>
    <row r="697" spans="1:45">
      <c r="A697" s="194" t="s">
        <v>644</v>
      </c>
      <c r="B697" s="196" t="s">
        <v>481</v>
      </c>
      <c r="C697" s="197">
        <v>232450</v>
      </c>
      <c r="D697" s="154">
        <v>9</v>
      </c>
      <c r="E697" s="323">
        <v>2584</v>
      </c>
      <c r="F697" s="324">
        <f>2767+14+87.6</f>
        <v>2868.6</v>
      </c>
      <c r="G697" s="325">
        <v>7839</v>
      </c>
      <c r="H697" s="324">
        <f>8230+14</f>
        <v>8244</v>
      </c>
      <c r="I697" s="323"/>
      <c r="J697" s="324"/>
      <c r="K697" s="323"/>
      <c r="L697" s="324"/>
      <c r="M697" s="323"/>
      <c r="N697" s="324"/>
      <c r="O697" s="325"/>
      <c r="P697" s="324"/>
      <c r="Q697" s="323"/>
      <c r="R697" s="324"/>
      <c r="S697" s="325"/>
      <c r="T697" s="324"/>
      <c r="U697" s="323"/>
      <c r="V697" s="324"/>
      <c r="W697" s="325"/>
      <c r="X697" s="324"/>
      <c r="Y697" s="323"/>
      <c r="Z697" s="324"/>
      <c r="AA697" s="325"/>
      <c r="AB697" s="324"/>
      <c r="AC697" s="323"/>
      <c r="AD697" s="324"/>
      <c r="AE697" s="325"/>
      <c r="AF697" s="324"/>
      <c r="AG697" s="323"/>
      <c r="AH697" s="324"/>
      <c r="AI697" s="325"/>
      <c r="AJ697" s="324"/>
      <c r="AK697" s="323"/>
      <c r="AL697" s="324"/>
      <c r="AM697" s="325"/>
      <c r="AN697" s="324"/>
    </row>
    <row r="698" spans="1:45">
      <c r="A698" s="194" t="s">
        <v>644</v>
      </c>
      <c r="B698" s="196" t="s">
        <v>482</v>
      </c>
      <c r="C698" s="197">
        <v>232575</v>
      </c>
      <c r="D698" s="154">
        <v>9</v>
      </c>
      <c r="E698" s="323">
        <v>2584</v>
      </c>
      <c r="F698" s="324">
        <f>2767+14+87.6</f>
        <v>2868.6</v>
      </c>
      <c r="G698" s="325">
        <v>7839</v>
      </c>
      <c r="H698" s="324">
        <f>8230+14</f>
        <v>8244</v>
      </c>
      <c r="I698" s="323"/>
      <c r="J698" s="324"/>
      <c r="K698" s="323"/>
      <c r="L698" s="324"/>
      <c r="M698" s="323"/>
      <c r="N698" s="324"/>
      <c r="O698" s="325"/>
      <c r="P698" s="324"/>
      <c r="Q698" s="323"/>
      <c r="R698" s="324"/>
      <c r="S698" s="325"/>
      <c r="T698" s="324"/>
      <c r="U698" s="323"/>
      <c r="V698" s="324"/>
      <c r="W698" s="325"/>
      <c r="X698" s="324"/>
      <c r="Y698" s="323"/>
      <c r="Z698" s="324"/>
      <c r="AA698" s="325"/>
      <c r="AB698" s="324"/>
      <c r="AC698" s="323"/>
      <c r="AD698" s="324"/>
      <c r="AE698" s="325"/>
      <c r="AF698" s="324"/>
      <c r="AG698" s="323"/>
      <c r="AH698" s="324"/>
      <c r="AI698" s="325"/>
      <c r="AJ698" s="324"/>
      <c r="AK698" s="323"/>
      <c r="AL698" s="324"/>
      <c r="AM698" s="325"/>
      <c r="AN698" s="324"/>
    </row>
    <row r="699" spans="1:45">
      <c r="A699" s="194" t="s">
        <v>644</v>
      </c>
      <c r="B699" s="196" t="s">
        <v>483</v>
      </c>
      <c r="C699" s="197">
        <v>232867</v>
      </c>
      <c r="D699" s="154">
        <v>9</v>
      </c>
      <c r="E699" s="323">
        <v>2584</v>
      </c>
      <c r="F699" s="324">
        <f>2767+14+87.6</f>
        <v>2868.6</v>
      </c>
      <c r="G699" s="325">
        <v>7839</v>
      </c>
      <c r="H699" s="324">
        <f>8230+14</f>
        <v>8244</v>
      </c>
      <c r="I699" s="323"/>
      <c r="J699" s="324"/>
      <c r="K699" s="323"/>
      <c r="L699" s="324"/>
      <c r="M699" s="323"/>
      <c r="N699" s="324"/>
      <c r="O699" s="325"/>
      <c r="P699" s="324"/>
      <c r="Q699" s="323"/>
      <c r="R699" s="324"/>
      <c r="S699" s="325"/>
      <c r="T699" s="324"/>
      <c r="U699" s="323"/>
      <c r="V699" s="324"/>
      <c r="W699" s="325"/>
      <c r="X699" s="324"/>
      <c r="Y699" s="323"/>
      <c r="Z699" s="324"/>
      <c r="AA699" s="325"/>
      <c r="AB699" s="324"/>
      <c r="AC699" s="323"/>
      <c r="AD699" s="324"/>
      <c r="AE699" s="325"/>
      <c r="AF699" s="324"/>
      <c r="AG699" s="323"/>
      <c r="AH699" s="324"/>
      <c r="AI699" s="325"/>
      <c r="AJ699" s="324"/>
      <c r="AK699" s="323"/>
      <c r="AL699" s="324"/>
      <c r="AM699" s="325"/>
      <c r="AN699" s="324"/>
    </row>
    <row r="700" spans="1:45">
      <c r="A700" s="194" t="s">
        <v>644</v>
      </c>
      <c r="B700" s="195" t="s">
        <v>485</v>
      </c>
      <c r="C700" s="194">
        <v>233116</v>
      </c>
      <c r="D700" s="154">
        <v>9</v>
      </c>
      <c r="E700" s="323">
        <v>2584</v>
      </c>
      <c r="F700" s="324">
        <f>2767+14+87.6</f>
        <v>2868.6</v>
      </c>
      <c r="G700" s="325">
        <v>7839</v>
      </c>
      <c r="H700" s="324">
        <f>8230+14</f>
        <v>8244</v>
      </c>
      <c r="I700" s="323"/>
      <c r="J700" s="324"/>
      <c r="K700" s="323"/>
      <c r="L700" s="324"/>
      <c r="M700" s="323"/>
      <c r="N700" s="324"/>
      <c r="O700" s="325"/>
      <c r="P700" s="324"/>
      <c r="Q700" s="323"/>
      <c r="R700" s="324"/>
      <c r="S700" s="325"/>
      <c r="T700" s="324"/>
      <c r="U700" s="323"/>
      <c r="V700" s="324"/>
      <c r="W700" s="325"/>
      <c r="X700" s="324"/>
      <c r="Y700" s="323"/>
      <c r="Z700" s="324"/>
      <c r="AA700" s="325"/>
      <c r="AB700" s="324"/>
      <c r="AC700" s="323"/>
      <c r="AD700" s="324"/>
      <c r="AE700" s="325"/>
      <c r="AF700" s="324"/>
      <c r="AG700" s="323"/>
      <c r="AH700" s="324"/>
      <c r="AI700" s="325"/>
      <c r="AJ700" s="324"/>
      <c r="AK700" s="323"/>
      <c r="AL700" s="324"/>
      <c r="AM700" s="325"/>
      <c r="AN700" s="324"/>
    </row>
    <row r="701" spans="1:45">
      <c r="A701" s="194" t="s">
        <v>644</v>
      </c>
      <c r="B701" s="195" t="s">
        <v>486</v>
      </c>
      <c r="C701" s="194">
        <v>233639</v>
      </c>
      <c r="D701" s="154">
        <v>9</v>
      </c>
      <c r="E701" s="323">
        <v>2584</v>
      </c>
      <c r="F701" s="324">
        <f>2767+14+87.6</f>
        <v>2868.6</v>
      </c>
      <c r="G701" s="325">
        <v>7839</v>
      </c>
      <c r="H701" s="324">
        <f>8230+14</f>
        <v>8244</v>
      </c>
      <c r="I701" s="323"/>
      <c r="J701" s="324"/>
      <c r="K701" s="323"/>
      <c r="L701" s="324"/>
      <c r="M701" s="323"/>
      <c r="N701" s="324"/>
      <c r="O701" s="325"/>
      <c r="P701" s="324"/>
      <c r="Q701" s="323"/>
      <c r="R701" s="324"/>
      <c r="S701" s="325"/>
      <c r="T701" s="324"/>
      <c r="U701" s="323"/>
      <c r="V701" s="324"/>
      <c r="W701" s="325"/>
      <c r="X701" s="324"/>
      <c r="Y701" s="323"/>
      <c r="Z701" s="324"/>
      <c r="AA701" s="325"/>
      <c r="AB701" s="324"/>
      <c r="AC701" s="323"/>
      <c r="AD701" s="324"/>
      <c r="AE701" s="325"/>
      <c r="AF701" s="324"/>
      <c r="AG701" s="323"/>
      <c r="AH701" s="324"/>
      <c r="AI701" s="325"/>
      <c r="AJ701" s="324"/>
      <c r="AK701" s="323"/>
      <c r="AL701" s="324"/>
      <c r="AM701" s="325"/>
      <c r="AN701" s="324"/>
      <c r="AO701" s="451"/>
      <c r="AP701" s="452"/>
      <c r="AQ701" s="452"/>
      <c r="AR701" s="452"/>
      <c r="AS701" s="452"/>
    </row>
    <row r="702" spans="1:45">
      <c r="A702" s="194" t="s">
        <v>644</v>
      </c>
      <c r="B702" s="195" t="s">
        <v>487</v>
      </c>
      <c r="C702" s="194">
        <v>233648</v>
      </c>
      <c r="D702" s="154">
        <v>9</v>
      </c>
      <c r="E702" s="323">
        <v>2584</v>
      </c>
      <c r="F702" s="324">
        <f>2767+14+87.6</f>
        <v>2868.6</v>
      </c>
      <c r="G702" s="325">
        <v>7839</v>
      </c>
      <c r="H702" s="324">
        <f>8230+14</f>
        <v>8244</v>
      </c>
      <c r="I702" s="323"/>
      <c r="J702" s="324"/>
      <c r="K702" s="323"/>
      <c r="L702" s="324"/>
      <c r="M702" s="323"/>
      <c r="N702" s="324"/>
      <c r="O702" s="325"/>
      <c r="P702" s="324"/>
      <c r="Q702" s="323"/>
      <c r="R702" s="324"/>
      <c r="S702" s="325"/>
      <c r="T702" s="324"/>
      <c r="U702" s="323"/>
      <c r="V702" s="324"/>
      <c r="W702" s="325"/>
      <c r="X702" s="324"/>
      <c r="Y702" s="323"/>
      <c r="Z702" s="324"/>
      <c r="AA702" s="325"/>
      <c r="AB702" s="324"/>
      <c r="AC702" s="323"/>
      <c r="AD702" s="324"/>
      <c r="AE702" s="325"/>
      <c r="AF702" s="324"/>
      <c r="AG702" s="323"/>
      <c r="AH702" s="324"/>
      <c r="AI702" s="325"/>
      <c r="AJ702" s="324"/>
      <c r="AK702" s="323"/>
      <c r="AL702" s="324"/>
      <c r="AM702" s="325"/>
      <c r="AN702" s="324"/>
      <c r="AO702" s="451"/>
      <c r="AP702" s="452"/>
      <c r="AQ702" s="452"/>
      <c r="AR702" s="452"/>
      <c r="AS702" s="452"/>
    </row>
    <row r="703" spans="1:45">
      <c r="A703" s="194" t="s">
        <v>644</v>
      </c>
      <c r="B703" s="195" t="s">
        <v>488</v>
      </c>
      <c r="C703" s="194">
        <v>233949</v>
      </c>
      <c r="D703" s="154">
        <v>9</v>
      </c>
      <c r="E703" s="323">
        <v>2584</v>
      </c>
      <c r="F703" s="324">
        <f>2767+14+87.6</f>
        <v>2868.6</v>
      </c>
      <c r="G703" s="325">
        <v>7839</v>
      </c>
      <c r="H703" s="324">
        <f>8230+14</f>
        <v>8244</v>
      </c>
      <c r="I703" s="323"/>
      <c r="J703" s="324"/>
      <c r="K703" s="323"/>
      <c r="L703" s="324"/>
      <c r="M703" s="323"/>
      <c r="N703" s="324"/>
      <c r="O703" s="325"/>
      <c r="P703" s="324"/>
      <c r="Q703" s="323"/>
      <c r="R703" s="324"/>
      <c r="S703" s="325"/>
      <c r="T703" s="324"/>
      <c r="U703" s="323"/>
      <c r="V703" s="324"/>
      <c r="W703" s="325"/>
      <c r="X703" s="324"/>
      <c r="Y703" s="323"/>
      <c r="Z703" s="324"/>
      <c r="AA703" s="325"/>
      <c r="AB703" s="324"/>
      <c r="AC703" s="323"/>
      <c r="AD703" s="324"/>
      <c r="AE703" s="325"/>
      <c r="AF703" s="324"/>
      <c r="AG703" s="323"/>
      <c r="AH703" s="324"/>
      <c r="AI703" s="325"/>
      <c r="AJ703" s="324"/>
      <c r="AK703" s="323"/>
      <c r="AL703" s="324"/>
      <c r="AM703" s="325"/>
      <c r="AN703" s="324"/>
      <c r="AO703" s="454"/>
      <c r="AP703" s="455"/>
      <c r="AQ703" s="455"/>
      <c r="AR703" s="455"/>
      <c r="AS703" s="455"/>
    </row>
    <row r="704" spans="1:45">
      <c r="A704" s="194" t="s">
        <v>644</v>
      </c>
      <c r="B704" s="449" t="s">
        <v>489</v>
      </c>
      <c r="C704" s="194">
        <v>231873</v>
      </c>
      <c r="D704" s="154">
        <v>10</v>
      </c>
      <c r="E704" s="323">
        <v>2584</v>
      </c>
      <c r="F704" s="324">
        <f>2767+14+87.6</f>
        <v>2868.6</v>
      </c>
      <c r="G704" s="325">
        <v>7839</v>
      </c>
      <c r="H704" s="324">
        <f>8230+14</f>
        <v>8244</v>
      </c>
      <c r="I704" s="323"/>
      <c r="J704" s="324"/>
      <c r="K704" s="323"/>
      <c r="L704" s="324"/>
      <c r="M704" s="323"/>
      <c r="N704" s="324"/>
      <c r="O704" s="325"/>
      <c r="P704" s="324"/>
      <c r="Q704" s="323"/>
      <c r="R704" s="324"/>
      <c r="S704" s="325"/>
      <c r="T704" s="324"/>
      <c r="U704" s="323"/>
      <c r="V704" s="324"/>
      <c r="W704" s="325"/>
      <c r="X704" s="324"/>
      <c r="Y704" s="323"/>
      <c r="Z704" s="324"/>
      <c r="AA704" s="325"/>
      <c r="AB704" s="324"/>
      <c r="AC704" s="323"/>
      <c r="AD704" s="324"/>
      <c r="AE704" s="325"/>
      <c r="AF704" s="324"/>
      <c r="AG704" s="323"/>
      <c r="AH704" s="324"/>
      <c r="AI704" s="325"/>
      <c r="AJ704" s="324"/>
      <c r="AK704" s="323"/>
      <c r="AL704" s="324"/>
      <c r="AM704" s="325"/>
      <c r="AN704" s="324"/>
    </row>
    <row r="705" spans="1:40">
      <c r="A705" s="194" t="s">
        <v>644</v>
      </c>
      <c r="B705" s="195" t="s">
        <v>490</v>
      </c>
      <c r="C705" s="194">
        <v>232052</v>
      </c>
      <c r="D705" s="154">
        <v>10</v>
      </c>
      <c r="E705" s="323">
        <v>2584</v>
      </c>
      <c r="F705" s="324">
        <f>2767+14+87.6</f>
        <v>2868.6</v>
      </c>
      <c r="G705" s="325">
        <v>7839</v>
      </c>
      <c r="H705" s="324">
        <f>8230+14</f>
        <v>8244</v>
      </c>
      <c r="I705" s="323"/>
      <c r="J705" s="324"/>
      <c r="K705" s="323"/>
      <c r="L705" s="324"/>
      <c r="M705" s="323"/>
      <c r="N705" s="324"/>
      <c r="O705" s="325"/>
      <c r="P705" s="324"/>
      <c r="Q705" s="323"/>
      <c r="R705" s="324"/>
      <c r="S705" s="325"/>
      <c r="T705" s="324"/>
      <c r="U705" s="323"/>
      <c r="V705" s="324"/>
      <c r="W705" s="325"/>
      <c r="X705" s="324"/>
      <c r="Y705" s="323"/>
      <c r="Z705" s="324"/>
      <c r="AA705" s="325"/>
      <c r="AB705" s="324"/>
      <c r="AC705" s="323"/>
      <c r="AD705" s="324"/>
      <c r="AE705" s="325"/>
      <c r="AF705" s="324"/>
      <c r="AG705" s="323"/>
      <c r="AH705" s="324"/>
      <c r="AI705" s="325"/>
      <c r="AJ705" s="324"/>
      <c r="AK705" s="323"/>
      <c r="AL705" s="324"/>
      <c r="AM705" s="325"/>
      <c r="AN705" s="324"/>
    </row>
    <row r="706" spans="1:40">
      <c r="A706" s="194" t="s">
        <v>644</v>
      </c>
      <c r="B706" s="196" t="s">
        <v>491</v>
      </c>
      <c r="C706" s="197">
        <v>232788</v>
      </c>
      <c r="D706" s="154">
        <v>10</v>
      </c>
      <c r="E706" s="323">
        <v>2584</v>
      </c>
      <c r="F706" s="324">
        <f>2767+14+87.6</f>
        <v>2868.6</v>
      </c>
      <c r="G706" s="325">
        <v>7839</v>
      </c>
      <c r="H706" s="324">
        <f>8230+14</f>
        <v>8244</v>
      </c>
      <c r="I706" s="323"/>
      <c r="J706" s="324"/>
      <c r="K706" s="323"/>
      <c r="L706" s="324"/>
      <c r="M706" s="323"/>
      <c r="N706" s="324"/>
      <c r="O706" s="325"/>
      <c r="P706" s="324"/>
      <c r="Q706" s="323"/>
      <c r="R706" s="324"/>
      <c r="S706" s="325"/>
      <c r="T706" s="324"/>
      <c r="U706" s="323"/>
      <c r="V706" s="324"/>
      <c r="W706" s="325"/>
      <c r="X706" s="324"/>
      <c r="Y706" s="323"/>
      <c r="Z706" s="324"/>
      <c r="AA706" s="325"/>
      <c r="AB706" s="324"/>
      <c r="AC706" s="323"/>
      <c r="AD706" s="324"/>
      <c r="AE706" s="325"/>
      <c r="AF706" s="324"/>
      <c r="AG706" s="323"/>
      <c r="AH706" s="324"/>
      <c r="AI706" s="325"/>
      <c r="AJ706" s="324"/>
      <c r="AK706" s="323"/>
      <c r="AL706" s="324"/>
      <c r="AM706" s="325"/>
      <c r="AN706" s="324"/>
    </row>
    <row r="707" spans="1:40">
      <c r="A707" s="194" t="s">
        <v>644</v>
      </c>
      <c r="B707" s="465" t="s">
        <v>484</v>
      </c>
      <c r="C707" s="197">
        <v>233019</v>
      </c>
      <c r="D707" s="238">
        <v>10</v>
      </c>
      <c r="E707" s="323">
        <v>2584</v>
      </c>
      <c r="F707" s="324">
        <f>2767+14+87.6</f>
        <v>2868.6</v>
      </c>
      <c r="G707" s="325">
        <v>7839</v>
      </c>
      <c r="H707" s="324">
        <f>8230+14</f>
        <v>8244</v>
      </c>
      <c r="I707" s="323"/>
      <c r="J707" s="324"/>
      <c r="K707" s="323"/>
      <c r="L707" s="324"/>
      <c r="M707" s="323"/>
      <c r="N707" s="324"/>
      <c r="O707" s="325"/>
      <c r="P707" s="324"/>
      <c r="Q707" s="323"/>
      <c r="R707" s="324"/>
      <c r="S707" s="325"/>
      <c r="T707" s="324"/>
      <c r="U707" s="323"/>
      <c r="V707" s="324"/>
      <c r="W707" s="325"/>
      <c r="X707" s="324"/>
      <c r="Y707" s="323"/>
      <c r="Z707" s="324"/>
      <c r="AA707" s="325"/>
      <c r="AB707" s="324"/>
      <c r="AC707" s="323"/>
      <c r="AD707" s="324"/>
      <c r="AE707" s="325"/>
      <c r="AF707" s="324"/>
      <c r="AG707" s="323"/>
      <c r="AH707" s="324"/>
      <c r="AI707" s="325"/>
      <c r="AJ707" s="324"/>
      <c r="AK707" s="323"/>
      <c r="AL707" s="324"/>
      <c r="AM707" s="325"/>
      <c r="AN707" s="324"/>
    </row>
    <row r="708" spans="1:40">
      <c r="A708" s="194" t="s">
        <v>644</v>
      </c>
      <c r="B708" s="195" t="s">
        <v>492</v>
      </c>
      <c r="C708" s="194">
        <v>233037</v>
      </c>
      <c r="D708" s="154">
        <v>10</v>
      </c>
      <c r="E708" s="323">
        <v>2584</v>
      </c>
      <c r="F708" s="324">
        <f>2767+14+87.6</f>
        <v>2868.6</v>
      </c>
      <c r="G708" s="325">
        <v>7839</v>
      </c>
      <c r="H708" s="324">
        <f>8230+14</f>
        <v>8244</v>
      </c>
      <c r="I708" s="323"/>
      <c r="J708" s="324"/>
      <c r="K708" s="323"/>
      <c r="L708" s="324"/>
      <c r="M708" s="323"/>
      <c r="N708" s="324"/>
      <c r="O708" s="325"/>
      <c r="P708" s="324"/>
      <c r="Q708" s="323"/>
      <c r="R708" s="324"/>
      <c r="S708" s="325"/>
      <c r="T708" s="324"/>
      <c r="U708" s="323"/>
      <c r="V708" s="324"/>
      <c r="W708" s="325"/>
      <c r="X708" s="324"/>
      <c r="Y708" s="323"/>
      <c r="Z708" s="324"/>
      <c r="AA708" s="325"/>
      <c r="AB708" s="324"/>
      <c r="AC708" s="323"/>
      <c r="AD708" s="324"/>
      <c r="AE708" s="325"/>
      <c r="AF708" s="324"/>
      <c r="AG708" s="323"/>
      <c r="AH708" s="324"/>
      <c r="AI708" s="325"/>
      <c r="AJ708" s="324"/>
      <c r="AK708" s="323"/>
      <c r="AL708" s="324"/>
      <c r="AM708" s="325"/>
      <c r="AN708" s="324"/>
    </row>
    <row r="709" spans="1:40">
      <c r="A709" s="194" t="s">
        <v>644</v>
      </c>
      <c r="B709" s="195" t="s">
        <v>493</v>
      </c>
      <c r="C709" s="194">
        <v>233310</v>
      </c>
      <c r="D709" s="154">
        <v>10</v>
      </c>
      <c r="E709" s="323">
        <v>2584</v>
      </c>
      <c r="F709" s="324">
        <f>2767+14+87.6</f>
        <v>2868.6</v>
      </c>
      <c r="G709" s="325">
        <v>7839</v>
      </c>
      <c r="H709" s="324">
        <f>8230+14</f>
        <v>8244</v>
      </c>
      <c r="I709" s="323"/>
      <c r="J709" s="324"/>
      <c r="K709" s="323"/>
      <c r="L709" s="324"/>
      <c r="M709" s="323"/>
      <c r="N709" s="324"/>
      <c r="O709" s="325"/>
      <c r="P709" s="324"/>
      <c r="Q709" s="323"/>
      <c r="R709" s="324"/>
      <c r="S709" s="325"/>
      <c r="T709" s="324"/>
      <c r="U709" s="323"/>
      <c r="V709" s="324"/>
      <c r="W709" s="325"/>
      <c r="X709" s="324"/>
      <c r="Y709" s="323"/>
      <c r="Z709" s="324"/>
      <c r="AA709" s="325"/>
      <c r="AB709" s="324"/>
      <c r="AC709" s="323"/>
      <c r="AD709" s="324"/>
      <c r="AE709" s="325"/>
      <c r="AF709" s="324"/>
      <c r="AG709" s="323"/>
      <c r="AH709" s="324"/>
      <c r="AI709" s="325"/>
      <c r="AJ709" s="324"/>
      <c r="AK709" s="323"/>
      <c r="AL709" s="324"/>
      <c r="AM709" s="325"/>
      <c r="AN709" s="324"/>
    </row>
    <row r="710" spans="1:40">
      <c r="A710" s="194" t="s">
        <v>644</v>
      </c>
      <c r="B710" s="195" t="s">
        <v>494</v>
      </c>
      <c r="C710" s="194">
        <v>233338</v>
      </c>
      <c r="D710" s="154">
        <v>10</v>
      </c>
      <c r="E710" s="323">
        <v>3048</v>
      </c>
      <c r="F710" s="324">
        <v>3676</v>
      </c>
      <c r="G710" s="325">
        <v>11638</v>
      </c>
      <c r="H710" s="324">
        <v>12404</v>
      </c>
      <c r="I710" s="323"/>
      <c r="J710" s="324"/>
      <c r="K710" s="323"/>
      <c r="L710" s="324"/>
      <c r="M710" s="323"/>
      <c r="N710" s="324"/>
      <c r="O710" s="325"/>
      <c r="P710" s="324"/>
      <c r="Q710" s="323"/>
      <c r="R710" s="324"/>
      <c r="S710" s="325"/>
      <c r="T710" s="324"/>
      <c r="U710" s="323"/>
      <c r="V710" s="324"/>
      <c r="W710" s="325"/>
      <c r="X710" s="324"/>
      <c r="Y710" s="323"/>
      <c r="Z710" s="324"/>
      <c r="AA710" s="325"/>
      <c r="AB710" s="324"/>
      <c r="AC710" s="323"/>
      <c r="AD710" s="324"/>
      <c r="AE710" s="325"/>
      <c r="AF710" s="324"/>
      <c r="AG710" s="323"/>
      <c r="AH710" s="324"/>
      <c r="AI710" s="325"/>
      <c r="AJ710" s="324"/>
      <c r="AK710" s="323"/>
      <c r="AL710" s="324"/>
      <c r="AM710" s="325"/>
      <c r="AN710" s="324"/>
    </row>
    <row r="711" spans="1:40">
      <c r="A711" s="194" t="s">
        <v>644</v>
      </c>
      <c r="B711" s="195" t="s">
        <v>495</v>
      </c>
      <c r="C711" s="194">
        <v>233903</v>
      </c>
      <c r="D711" s="154">
        <v>10</v>
      </c>
      <c r="E711" s="323">
        <v>2584</v>
      </c>
      <c r="F711" s="324">
        <f>2767+14+87.6</f>
        <v>2868.6</v>
      </c>
      <c r="G711" s="325">
        <v>7839</v>
      </c>
      <c r="H711" s="324">
        <f>8230+14</f>
        <v>8244</v>
      </c>
      <c r="I711" s="323"/>
      <c r="J711" s="324"/>
      <c r="K711" s="323"/>
      <c r="L711" s="324"/>
      <c r="M711" s="323"/>
      <c r="N711" s="324"/>
      <c r="O711" s="325"/>
      <c r="P711" s="324"/>
      <c r="Q711" s="323"/>
      <c r="R711" s="324"/>
      <c r="S711" s="325"/>
      <c r="T711" s="324"/>
      <c r="U711" s="323"/>
      <c r="V711" s="324"/>
      <c r="W711" s="325"/>
      <c r="X711" s="324"/>
      <c r="Y711" s="323"/>
      <c r="Z711" s="324"/>
      <c r="AA711" s="325"/>
      <c r="AB711" s="324"/>
      <c r="AC711" s="323"/>
      <c r="AD711" s="324"/>
      <c r="AE711" s="325"/>
      <c r="AF711" s="324"/>
      <c r="AG711" s="323"/>
      <c r="AH711" s="324"/>
      <c r="AI711" s="325"/>
      <c r="AJ711" s="324"/>
      <c r="AK711" s="323"/>
      <c r="AL711" s="324"/>
      <c r="AM711" s="325"/>
      <c r="AN711" s="324"/>
    </row>
    <row r="712" spans="1:40">
      <c r="A712" s="194" t="s">
        <v>644</v>
      </c>
      <c r="B712" s="449" t="s">
        <v>496</v>
      </c>
      <c r="C712" s="194">
        <v>234377</v>
      </c>
      <c r="D712" s="154">
        <v>10</v>
      </c>
      <c r="E712" s="323">
        <v>2584</v>
      </c>
      <c r="F712" s="324">
        <f>2767+14+87.6</f>
        <v>2868.6</v>
      </c>
      <c r="G712" s="325">
        <v>7839</v>
      </c>
      <c r="H712" s="324">
        <f>8230+14</f>
        <v>8244</v>
      </c>
      <c r="I712" s="323"/>
      <c r="J712" s="324"/>
      <c r="K712" s="323"/>
      <c r="L712" s="324"/>
      <c r="M712" s="323"/>
      <c r="N712" s="324"/>
      <c r="O712" s="325"/>
      <c r="P712" s="324"/>
      <c r="Q712" s="323"/>
      <c r="R712" s="324"/>
      <c r="S712" s="325"/>
      <c r="T712" s="324"/>
      <c r="U712" s="323"/>
      <c r="V712" s="324"/>
      <c r="W712" s="325"/>
      <c r="X712" s="324"/>
      <c r="Y712" s="323"/>
      <c r="Z712" s="324"/>
      <c r="AA712" s="325"/>
      <c r="AB712" s="324"/>
      <c r="AC712" s="323"/>
      <c r="AD712" s="324"/>
      <c r="AE712" s="325"/>
      <c r="AF712" s="324"/>
      <c r="AG712" s="323"/>
      <c r="AH712" s="324"/>
      <c r="AI712" s="325"/>
      <c r="AJ712" s="324"/>
      <c r="AK712" s="323"/>
      <c r="AL712" s="324"/>
      <c r="AM712" s="325"/>
      <c r="AN712" s="324"/>
    </row>
    <row r="713" spans="1:40">
      <c r="A713" s="194" t="s">
        <v>644</v>
      </c>
      <c r="B713" s="195" t="s">
        <v>497</v>
      </c>
      <c r="C713" s="194">
        <v>234085</v>
      </c>
      <c r="D713" s="154">
        <v>15</v>
      </c>
      <c r="E713" s="323">
        <v>10556</v>
      </c>
      <c r="F713" s="324">
        <f>5500+5690</f>
        <v>11190</v>
      </c>
      <c r="G713" s="325">
        <v>27454</v>
      </c>
      <c r="H713" s="324">
        <f>23048+5690</f>
        <v>28738</v>
      </c>
      <c r="I713" s="323"/>
      <c r="J713" s="324"/>
      <c r="K713" s="323"/>
      <c r="L713" s="324"/>
      <c r="M713" s="323"/>
      <c r="N713" s="324"/>
      <c r="O713" s="325"/>
      <c r="P713" s="324"/>
      <c r="Q713" s="323"/>
      <c r="R713" s="324"/>
      <c r="S713" s="325"/>
      <c r="T713" s="324"/>
      <c r="U713" s="323"/>
      <c r="V713" s="324"/>
      <c r="W713" s="325"/>
      <c r="X713" s="324"/>
      <c r="Y713" s="323"/>
      <c r="Z713" s="324"/>
      <c r="AA713" s="325"/>
      <c r="AB713" s="324"/>
      <c r="AC713" s="323"/>
      <c r="AD713" s="324"/>
      <c r="AE713" s="325"/>
      <c r="AF713" s="324"/>
      <c r="AG713" s="323"/>
      <c r="AH713" s="324"/>
      <c r="AI713" s="325"/>
      <c r="AJ713" s="324"/>
      <c r="AK713" s="323"/>
      <c r="AL713" s="324"/>
      <c r="AM713" s="325"/>
      <c r="AN713" s="324"/>
    </row>
    <row r="714" spans="1:40">
      <c r="A714" s="176" t="s">
        <v>643</v>
      </c>
      <c r="B714" s="179" t="s">
        <v>279</v>
      </c>
      <c r="C714" s="180">
        <v>238032</v>
      </c>
      <c r="D714" s="181">
        <v>1</v>
      </c>
      <c r="E714" s="323">
        <v>5100</v>
      </c>
      <c r="F714" s="324">
        <v>5304</v>
      </c>
      <c r="G714" s="325">
        <v>15770</v>
      </c>
      <c r="H714" s="324">
        <v>16402</v>
      </c>
      <c r="I714" s="323">
        <v>5612</v>
      </c>
      <c r="J714" s="324">
        <v>5838</v>
      </c>
      <c r="K714" s="323">
        <v>16270</v>
      </c>
      <c r="L714" s="324">
        <v>16920</v>
      </c>
      <c r="M714" s="323">
        <v>10644</v>
      </c>
      <c r="N714" s="324">
        <v>11072</v>
      </c>
      <c r="O714" s="325">
        <v>24010</v>
      </c>
      <c r="P714" s="324">
        <v>24970</v>
      </c>
      <c r="Q714" s="323">
        <v>20164</v>
      </c>
      <c r="R714" s="324">
        <v>20970</v>
      </c>
      <c r="S714" s="325">
        <v>43960</v>
      </c>
      <c r="T714" s="324">
        <v>45718</v>
      </c>
      <c r="U714" s="323">
        <v>12754</v>
      </c>
      <c r="V714" s="324">
        <v>13264</v>
      </c>
      <c r="W714" s="325">
        <v>32656</v>
      </c>
      <c r="X714" s="324">
        <v>33962</v>
      </c>
      <c r="Y714" s="323">
        <f>5144*2</f>
        <v>10288</v>
      </c>
      <c r="Z714" s="324">
        <v>11216</v>
      </c>
      <c r="AA714" s="325">
        <f>13537*2</f>
        <v>27074</v>
      </c>
      <c r="AB714" s="324">
        <v>28156</v>
      </c>
      <c r="AC714" s="323"/>
      <c r="AD714" s="324"/>
      <c r="AE714" s="325"/>
      <c r="AF714" s="324"/>
      <c r="AG714" s="323"/>
      <c r="AH714" s="324"/>
      <c r="AI714" s="325"/>
      <c r="AJ714" s="324"/>
      <c r="AK714" s="323"/>
      <c r="AL714" s="324"/>
      <c r="AM714" s="325"/>
      <c r="AN714" s="324"/>
    </row>
    <row r="715" spans="1:40">
      <c r="A715" s="176" t="s">
        <v>643</v>
      </c>
      <c r="B715" s="198" t="s">
        <v>317</v>
      </c>
      <c r="C715" s="178">
        <v>237525</v>
      </c>
      <c r="D715" s="178">
        <v>3</v>
      </c>
      <c r="E715" s="323">
        <v>4898</v>
      </c>
      <c r="F715" s="324">
        <v>5236</v>
      </c>
      <c r="G715" s="325">
        <v>12002</v>
      </c>
      <c r="H715" s="324">
        <v>12482</v>
      </c>
      <c r="I715" s="323">
        <v>5160</v>
      </c>
      <c r="J715" s="324">
        <v>5516</v>
      </c>
      <c r="K715" s="323">
        <v>13304</v>
      </c>
      <c r="L715" s="324">
        <v>13836</v>
      </c>
      <c r="M715" s="323"/>
      <c r="N715" s="324"/>
      <c r="O715" s="325"/>
      <c r="P715" s="324"/>
      <c r="Q715" s="323">
        <v>16588</v>
      </c>
      <c r="R715" s="324">
        <v>17688</v>
      </c>
      <c r="S715" s="325">
        <v>42178</v>
      </c>
      <c r="T715" s="324">
        <v>44478</v>
      </c>
      <c r="U715" s="323"/>
      <c r="V715" s="324"/>
      <c r="W715" s="325"/>
      <c r="X715" s="324"/>
      <c r="Y715" s="323"/>
      <c r="Z715" s="324"/>
      <c r="AA715" s="325"/>
      <c r="AB715" s="324"/>
      <c r="AC715" s="323"/>
      <c r="AD715" s="324"/>
      <c r="AE715" s="325"/>
      <c r="AF715" s="324"/>
      <c r="AG715" s="323"/>
      <c r="AH715" s="324"/>
      <c r="AI715" s="325"/>
      <c r="AJ715" s="324"/>
      <c r="AK715" s="323"/>
      <c r="AL715" s="324"/>
      <c r="AM715" s="325"/>
      <c r="AN715" s="324"/>
    </row>
    <row r="716" spans="1:40">
      <c r="A716" s="176" t="s">
        <v>643</v>
      </c>
      <c r="B716" s="385" t="s">
        <v>547</v>
      </c>
      <c r="C716" s="386">
        <v>237367</v>
      </c>
      <c r="D716" s="387">
        <v>5</v>
      </c>
      <c r="E716" s="323">
        <v>4804</v>
      </c>
      <c r="F716" s="324">
        <v>4952</v>
      </c>
      <c r="G716" s="325">
        <v>10370</v>
      </c>
      <c r="H716" s="324">
        <v>10684</v>
      </c>
      <c r="I716" s="323">
        <v>5240</v>
      </c>
      <c r="J716" s="324">
        <v>5400</v>
      </c>
      <c r="K716" s="323">
        <v>11430</v>
      </c>
      <c r="L716" s="324">
        <v>11776</v>
      </c>
      <c r="M716" s="323"/>
      <c r="N716" s="324"/>
      <c r="O716" s="325"/>
      <c r="P716" s="324"/>
      <c r="Q716" s="323"/>
      <c r="R716" s="324"/>
      <c r="S716" s="325"/>
      <c r="T716" s="324"/>
      <c r="U716" s="323"/>
      <c r="V716" s="324"/>
      <c r="W716" s="325"/>
      <c r="X716" s="324"/>
      <c r="Y716" s="323"/>
      <c r="Z716" s="324"/>
      <c r="AA716" s="325"/>
      <c r="AB716" s="324"/>
      <c r="AC716" s="323"/>
      <c r="AD716" s="324"/>
      <c r="AE716" s="325"/>
      <c r="AF716" s="324"/>
      <c r="AG716" s="323"/>
      <c r="AH716" s="324"/>
      <c r="AI716" s="325"/>
      <c r="AJ716" s="324"/>
      <c r="AK716" s="323"/>
      <c r="AL716" s="324"/>
      <c r="AM716" s="325"/>
      <c r="AN716" s="324"/>
    </row>
    <row r="717" spans="1:40">
      <c r="A717" s="176" t="s">
        <v>643</v>
      </c>
      <c r="B717" s="198" t="s">
        <v>318</v>
      </c>
      <c r="C717" s="178">
        <v>237215</v>
      </c>
      <c r="D717" s="178">
        <v>6</v>
      </c>
      <c r="E717" s="323">
        <v>4272</v>
      </c>
      <c r="F717" s="324">
        <v>4596</v>
      </c>
      <c r="G717" s="325">
        <v>8568</v>
      </c>
      <c r="H717" s="324">
        <v>9000</v>
      </c>
      <c r="I717" s="323"/>
      <c r="J717" s="324"/>
      <c r="K717" s="323"/>
      <c r="L717" s="324"/>
      <c r="M717" s="323"/>
      <c r="N717" s="324"/>
      <c r="O717" s="325"/>
      <c r="P717" s="324"/>
      <c r="Q717" s="323"/>
      <c r="R717" s="324"/>
      <c r="S717" s="325"/>
      <c r="T717" s="324"/>
      <c r="U717" s="323"/>
      <c r="V717" s="324"/>
      <c r="W717" s="325"/>
      <c r="X717" s="324"/>
      <c r="Y717" s="323"/>
      <c r="Z717" s="324"/>
      <c r="AA717" s="325"/>
      <c r="AB717" s="324"/>
      <c r="AC717" s="323"/>
      <c r="AD717" s="324"/>
      <c r="AE717" s="325"/>
      <c r="AF717" s="324"/>
      <c r="AG717" s="323"/>
      <c r="AH717" s="324"/>
      <c r="AI717" s="325"/>
      <c r="AJ717" s="324"/>
      <c r="AK717" s="323"/>
      <c r="AL717" s="324"/>
      <c r="AM717" s="325"/>
      <c r="AN717" s="324"/>
    </row>
    <row r="718" spans="1:40">
      <c r="A718" s="176" t="s">
        <v>643</v>
      </c>
      <c r="B718" s="198" t="s">
        <v>319</v>
      </c>
      <c r="C718" s="178">
        <v>237330</v>
      </c>
      <c r="D718" s="178">
        <v>6</v>
      </c>
      <c r="E718" s="323">
        <v>4578</v>
      </c>
      <c r="F718" s="324">
        <v>4974</v>
      </c>
      <c r="G718" s="325">
        <v>10170</v>
      </c>
      <c r="H718" s="324">
        <v>11050</v>
      </c>
      <c r="I718" s="323">
        <v>4922</v>
      </c>
      <c r="J718" s="324">
        <v>5348</v>
      </c>
      <c r="K718" s="323">
        <v>8646</v>
      </c>
      <c r="L718" s="324">
        <v>9394</v>
      </c>
      <c r="M718" s="323"/>
      <c r="N718" s="324"/>
      <c r="O718" s="325"/>
      <c r="P718" s="324"/>
      <c r="Q718" s="323"/>
      <c r="R718" s="324"/>
      <c r="S718" s="325"/>
      <c r="T718" s="324"/>
      <c r="U718" s="323"/>
      <c r="V718" s="324"/>
      <c r="W718" s="325"/>
      <c r="X718" s="324"/>
      <c r="Y718" s="323"/>
      <c r="Z718" s="324"/>
      <c r="AA718" s="325"/>
      <c r="AB718" s="324"/>
      <c r="AC718" s="323"/>
      <c r="AD718" s="324"/>
      <c r="AE718" s="325"/>
      <c r="AF718" s="324"/>
      <c r="AG718" s="323"/>
      <c r="AH718" s="324"/>
      <c r="AI718" s="325"/>
      <c r="AJ718" s="324"/>
      <c r="AK718" s="323"/>
      <c r="AL718" s="324"/>
      <c r="AM718" s="325"/>
      <c r="AN718" s="324"/>
    </row>
    <row r="719" spans="1:40">
      <c r="A719" s="176" t="s">
        <v>643</v>
      </c>
      <c r="B719" s="198" t="s">
        <v>320</v>
      </c>
      <c r="C719" s="178">
        <v>237385</v>
      </c>
      <c r="D719" s="178">
        <v>6</v>
      </c>
      <c r="E719" s="323">
        <v>4486</v>
      </c>
      <c r="F719" s="324">
        <v>4888</v>
      </c>
      <c r="G719" s="325">
        <v>10738</v>
      </c>
      <c r="H719" s="324">
        <v>11702</v>
      </c>
      <c r="I719" s="323"/>
      <c r="J719" s="324"/>
      <c r="K719" s="323"/>
      <c r="L719" s="324"/>
      <c r="M719" s="323"/>
      <c r="N719" s="324"/>
      <c r="O719" s="325"/>
      <c r="P719" s="324"/>
      <c r="Q719" s="323"/>
      <c r="R719" s="324"/>
      <c r="S719" s="325"/>
      <c r="T719" s="324"/>
      <c r="U719" s="323"/>
      <c r="V719" s="324"/>
      <c r="W719" s="325"/>
      <c r="X719" s="324"/>
      <c r="Y719" s="323"/>
      <c r="Z719" s="324"/>
      <c r="AA719" s="325"/>
      <c r="AB719" s="324"/>
      <c r="AC719" s="323"/>
      <c r="AD719" s="324"/>
      <c r="AE719" s="325"/>
      <c r="AF719" s="324"/>
      <c r="AG719" s="323"/>
      <c r="AH719" s="324"/>
      <c r="AI719" s="325"/>
      <c r="AJ719" s="324"/>
      <c r="AK719" s="323"/>
      <c r="AL719" s="324"/>
      <c r="AM719" s="325"/>
      <c r="AN719" s="324"/>
    </row>
    <row r="720" spans="1:40">
      <c r="A720" s="176" t="s">
        <v>643</v>
      </c>
      <c r="B720" s="179" t="s">
        <v>321</v>
      </c>
      <c r="C720" s="178">
        <v>237792</v>
      </c>
      <c r="D720" s="178">
        <v>6</v>
      </c>
      <c r="E720" s="323">
        <v>4898</v>
      </c>
      <c r="F720" s="324">
        <v>5234</v>
      </c>
      <c r="G720" s="325">
        <v>12812</v>
      </c>
      <c r="H720" s="324">
        <v>13574</v>
      </c>
      <c r="I720" s="323">
        <v>5058</v>
      </c>
      <c r="J720" s="324">
        <v>5490</v>
      </c>
      <c r="K720" s="323">
        <v>7236</v>
      </c>
      <c r="L720" s="324">
        <v>7920</v>
      </c>
      <c r="M720" s="323"/>
      <c r="N720" s="324"/>
      <c r="O720" s="325"/>
      <c r="P720" s="324"/>
      <c r="Q720" s="323"/>
      <c r="R720" s="324"/>
      <c r="S720" s="325"/>
      <c r="T720" s="324"/>
      <c r="U720" s="323"/>
      <c r="V720" s="324"/>
      <c r="W720" s="325"/>
      <c r="X720" s="324"/>
      <c r="Y720" s="323"/>
      <c r="Z720" s="324"/>
      <c r="AA720" s="325"/>
      <c r="AB720" s="324"/>
      <c r="AC720" s="323"/>
      <c r="AD720" s="324"/>
      <c r="AE720" s="325"/>
      <c r="AF720" s="324"/>
      <c r="AG720" s="323"/>
      <c r="AH720" s="324"/>
      <c r="AI720" s="325"/>
      <c r="AJ720" s="324"/>
      <c r="AK720" s="323"/>
      <c r="AL720" s="324"/>
      <c r="AM720" s="325"/>
      <c r="AN720" s="324"/>
    </row>
    <row r="721" spans="1:40">
      <c r="A721" s="176" t="s">
        <v>643</v>
      </c>
      <c r="B721" s="239" t="s">
        <v>22</v>
      </c>
      <c r="C721" s="178">
        <v>237932</v>
      </c>
      <c r="D721" s="178">
        <v>6</v>
      </c>
      <c r="E721" s="323">
        <v>4464</v>
      </c>
      <c r="F721" s="324">
        <v>4880</v>
      </c>
      <c r="G721" s="325">
        <v>10896</v>
      </c>
      <c r="H721" s="324">
        <v>11950</v>
      </c>
      <c r="I721" s="323"/>
      <c r="J721" s="324">
        <v>3780</v>
      </c>
      <c r="K721" s="323"/>
      <c r="L721" s="324">
        <v>4770</v>
      </c>
      <c r="M721" s="323"/>
      <c r="N721" s="324"/>
      <c r="O721" s="325"/>
      <c r="P721" s="324"/>
      <c r="Q721" s="323"/>
      <c r="R721" s="324"/>
      <c r="S721" s="325"/>
      <c r="T721" s="324"/>
      <c r="U721" s="323"/>
      <c r="V721" s="324"/>
      <c r="W721" s="325"/>
      <c r="X721" s="324"/>
      <c r="Y721" s="323"/>
      <c r="Z721" s="324"/>
      <c r="AA721" s="325"/>
      <c r="AB721" s="324"/>
      <c r="AC721" s="323"/>
      <c r="AD721" s="324"/>
      <c r="AE721" s="325"/>
      <c r="AF721" s="324"/>
      <c r="AG721" s="323"/>
      <c r="AH721" s="324"/>
      <c r="AI721" s="325"/>
      <c r="AJ721" s="324"/>
      <c r="AK721" s="323"/>
      <c r="AL721" s="324"/>
      <c r="AM721" s="325"/>
      <c r="AN721" s="324"/>
    </row>
    <row r="722" spans="1:40">
      <c r="A722" s="176" t="s">
        <v>643</v>
      </c>
      <c r="B722" s="198" t="s">
        <v>322</v>
      </c>
      <c r="C722" s="178">
        <v>237899</v>
      </c>
      <c r="D722" s="178">
        <v>6</v>
      </c>
      <c r="E722" s="323">
        <v>4466</v>
      </c>
      <c r="F722" s="324">
        <v>4644</v>
      </c>
      <c r="G722" s="325">
        <v>10466</v>
      </c>
      <c r="H722" s="324">
        <v>10884</v>
      </c>
      <c r="I722" s="323">
        <v>4912</v>
      </c>
      <c r="J722" s="324">
        <v>5108</v>
      </c>
      <c r="K722" s="323">
        <v>11510</v>
      </c>
      <c r="L722" s="324">
        <v>11970</v>
      </c>
      <c r="M722" s="323"/>
      <c r="N722" s="324"/>
      <c r="O722" s="325"/>
      <c r="P722" s="324"/>
      <c r="Q722" s="323"/>
      <c r="R722" s="324"/>
      <c r="S722" s="325"/>
      <c r="T722" s="324"/>
      <c r="U722" s="323"/>
      <c r="V722" s="324"/>
      <c r="W722" s="325"/>
      <c r="X722" s="324"/>
      <c r="Y722" s="323"/>
      <c r="Z722" s="324"/>
      <c r="AA722" s="325"/>
      <c r="AB722" s="324"/>
      <c r="AC722" s="323"/>
      <c r="AD722" s="324"/>
      <c r="AE722" s="325"/>
      <c r="AF722" s="324"/>
      <c r="AG722" s="323"/>
      <c r="AH722" s="324"/>
      <c r="AI722" s="325"/>
      <c r="AJ722" s="324"/>
      <c r="AK722" s="323"/>
      <c r="AL722" s="324"/>
      <c r="AM722" s="325"/>
      <c r="AN722" s="324"/>
    </row>
    <row r="723" spans="1:40">
      <c r="A723" s="176" t="s">
        <v>643</v>
      </c>
      <c r="B723" s="198" t="s">
        <v>323</v>
      </c>
      <c r="C723" s="178">
        <v>237950</v>
      </c>
      <c r="D723" s="178">
        <v>6</v>
      </c>
      <c r="E723" s="323">
        <v>4964</v>
      </c>
      <c r="F723" s="324">
        <v>5164</v>
      </c>
      <c r="G723" s="325">
        <v>12748</v>
      </c>
      <c r="H723" s="324">
        <v>13264</v>
      </c>
      <c r="I723" s="323">
        <v>5512</v>
      </c>
      <c r="J723" s="324">
        <v>0</v>
      </c>
      <c r="K723" s="323">
        <v>14010</v>
      </c>
      <c r="L723" s="324">
        <v>0</v>
      </c>
      <c r="M723" s="323"/>
      <c r="N723" s="324"/>
      <c r="O723" s="325"/>
      <c r="P723" s="324"/>
      <c r="Q723" s="323"/>
      <c r="R723" s="324"/>
      <c r="S723" s="325"/>
      <c r="T723" s="324"/>
      <c r="U723" s="323"/>
      <c r="V723" s="324"/>
      <c r="W723" s="325"/>
      <c r="X723" s="324"/>
      <c r="Y723" s="323"/>
      <c r="Z723" s="324"/>
      <c r="AA723" s="325"/>
      <c r="AB723" s="324"/>
      <c r="AC723" s="323"/>
      <c r="AD723" s="324"/>
      <c r="AE723" s="325"/>
      <c r="AF723" s="324"/>
      <c r="AG723" s="323"/>
      <c r="AH723" s="324"/>
      <c r="AI723" s="325"/>
      <c r="AJ723" s="324"/>
      <c r="AK723" s="323"/>
      <c r="AL723" s="324"/>
      <c r="AM723" s="325"/>
      <c r="AN723" s="324"/>
    </row>
    <row r="724" spans="1:40">
      <c r="A724" s="176" t="s">
        <v>643</v>
      </c>
      <c r="B724" s="388" t="s">
        <v>526</v>
      </c>
      <c r="C724" s="386">
        <v>237701</v>
      </c>
      <c r="D724" s="387">
        <v>7</v>
      </c>
      <c r="E724" s="323">
        <v>2726</v>
      </c>
      <c r="F724" s="324">
        <v>2886</v>
      </c>
      <c r="G724" s="325">
        <v>8674</v>
      </c>
      <c r="H724" s="324">
        <v>8746</v>
      </c>
      <c r="I724" s="323"/>
      <c r="J724" s="324"/>
      <c r="K724" s="323"/>
      <c r="L724" s="324"/>
      <c r="M724" s="323"/>
      <c r="N724" s="324"/>
      <c r="O724" s="325"/>
      <c r="P724" s="324"/>
      <c r="Q724" s="323"/>
      <c r="R724" s="324"/>
      <c r="S724" s="325"/>
      <c r="T724" s="324"/>
      <c r="U724" s="323"/>
      <c r="V724" s="324"/>
      <c r="W724" s="325"/>
      <c r="X724" s="324"/>
      <c r="Y724" s="323"/>
      <c r="Z724" s="324"/>
      <c r="AA724" s="325"/>
      <c r="AB724" s="324"/>
      <c r="AC724" s="323"/>
      <c r="AD724" s="324"/>
      <c r="AE724" s="325"/>
      <c r="AF724" s="324"/>
      <c r="AG724" s="323"/>
      <c r="AH724" s="324"/>
      <c r="AI724" s="325"/>
      <c r="AJ724" s="324"/>
      <c r="AK724" s="323"/>
      <c r="AL724" s="324"/>
      <c r="AM724" s="325"/>
      <c r="AN724" s="324"/>
    </row>
    <row r="725" spans="1:40">
      <c r="A725" s="176" t="s">
        <v>643</v>
      </c>
      <c r="B725" s="198" t="s">
        <v>520</v>
      </c>
      <c r="C725" s="178">
        <v>237686</v>
      </c>
      <c r="D725" s="178">
        <v>7</v>
      </c>
      <c r="E725" s="323">
        <v>1912</v>
      </c>
      <c r="F725" s="324">
        <v>2076</v>
      </c>
      <c r="G725" s="325">
        <v>6766</v>
      </c>
      <c r="H725" s="324">
        <v>7347</v>
      </c>
      <c r="I725" s="323"/>
      <c r="J725" s="324"/>
      <c r="K725" s="323"/>
      <c r="L725" s="324"/>
      <c r="M725" s="323"/>
      <c r="N725" s="324"/>
      <c r="O725" s="325"/>
      <c r="P725" s="324"/>
      <c r="Q725" s="323"/>
      <c r="R725" s="324"/>
      <c r="S725" s="325"/>
      <c r="T725" s="324"/>
      <c r="U725" s="323"/>
      <c r="V725" s="324"/>
      <c r="W725" s="325"/>
      <c r="X725" s="324"/>
      <c r="Y725" s="323"/>
      <c r="Z725" s="324"/>
      <c r="AA725" s="325"/>
      <c r="AB725" s="324"/>
      <c r="AC725" s="323"/>
      <c r="AD725" s="324"/>
      <c r="AE725" s="325"/>
      <c r="AF725" s="324"/>
      <c r="AG725" s="323"/>
      <c r="AH725" s="324"/>
      <c r="AI725" s="325"/>
      <c r="AJ725" s="324"/>
      <c r="AK725" s="323"/>
      <c r="AL725" s="324"/>
      <c r="AM725" s="325"/>
      <c r="AN725" s="324"/>
    </row>
    <row r="726" spans="1:40">
      <c r="A726" s="180" t="s">
        <v>643</v>
      </c>
      <c r="B726" s="179" t="s">
        <v>522</v>
      </c>
      <c r="C726" s="180">
        <v>446774</v>
      </c>
      <c r="D726" s="181">
        <v>10</v>
      </c>
      <c r="E726" s="323">
        <v>3060</v>
      </c>
      <c r="F726" s="324">
        <v>3072</v>
      </c>
      <c r="G726" s="325">
        <v>5520</v>
      </c>
      <c r="H726" s="324">
        <v>5520</v>
      </c>
      <c r="I726" s="323"/>
      <c r="J726" s="324"/>
      <c r="K726" s="323"/>
      <c r="L726" s="324"/>
      <c r="M726" s="323"/>
      <c r="N726" s="324"/>
      <c r="O726" s="325"/>
      <c r="P726" s="324"/>
      <c r="Q726" s="323"/>
      <c r="R726" s="324"/>
      <c r="S726" s="325"/>
      <c r="T726" s="324"/>
      <c r="U726" s="323"/>
      <c r="V726" s="324"/>
      <c r="W726" s="325"/>
      <c r="X726" s="324"/>
      <c r="Y726" s="323"/>
      <c r="Z726" s="324"/>
      <c r="AA726" s="325"/>
      <c r="AB726" s="324"/>
      <c r="AC726" s="323"/>
      <c r="AD726" s="324"/>
      <c r="AE726" s="325"/>
      <c r="AF726" s="324"/>
      <c r="AG726" s="323"/>
      <c r="AH726" s="324"/>
      <c r="AI726" s="325"/>
      <c r="AJ726" s="324"/>
      <c r="AK726" s="323"/>
      <c r="AL726" s="324"/>
      <c r="AM726" s="325"/>
      <c r="AN726" s="324"/>
    </row>
    <row r="727" spans="1:40">
      <c r="A727" s="176" t="s">
        <v>643</v>
      </c>
      <c r="B727" s="179" t="s">
        <v>1061</v>
      </c>
      <c r="C727" s="180">
        <v>445674</v>
      </c>
      <c r="D727" s="181">
        <v>10</v>
      </c>
      <c r="E727" s="323">
        <v>3410</v>
      </c>
      <c r="F727" s="324">
        <v>3504</v>
      </c>
      <c r="G727" s="325">
        <v>11772</v>
      </c>
      <c r="H727" s="324">
        <v>11866</v>
      </c>
      <c r="I727" s="323"/>
      <c r="J727" s="324"/>
      <c r="K727" s="323"/>
      <c r="L727" s="324"/>
      <c r="M727" s="323"/>
      <c r="N727" s="324"/>
      <c r="O727" s="325"/>
      <c r="P727" s="324"/>
      <c r="Q727" s="323"/>
      <c r="R727" s="324"/>
      <c r="S727" s="325"/>
      <c r="T727" s="324"/>
      <c r="U727" s="323"/>
      <c r="V727" s="324"/>
      <c r="W727" s="325"/>
      <c r="X727" s="324"/>
      <c r="Y727" s="323"/>
      <c r="Z727" s="324"/>
      <c r="AA727" s="325"/>
      <c r="AB727" s="324"/>
      <c r="AC727" s="323"/>
      <c r="AD727" s="324"/>
      <c r="AE727" s="325"/>
      <c r="AF727" s="324"/>
      <c r="AG727" s="323"/>
      <c r="AH727" s="324"/>
      <c r="AI727" s="325"/>
      <c r="AJ727" s="324"/>
      <c r="AK727" s="323"/>
      <c r="AL727" s="324"/>
      <c r="AM727" s="325"/>
      <c r="AN727" s="324"/>
    </row>
    <row r="728" spans="1:40">
      <c r="A728" s="180" t="s">
        <v>643</v>
      </c>
      <c r="B728" s="179" t="s">
        <v>523</v>
      </c>
      <c r="C728" s="180">
        <v>438708</v>
      </c>
      <c r="D728" s="181">
        <v>10</v>
      </c>
      <c r="E728" s="323">
        <v>1920</v>
      </c>
      <c r="F728" s="324">
        <v>2064</v>
      </c>
      <c r="G728" s="325">
        <v>6822</v>
      </c>
      <c r="H728" s="324">
        <v>6816</v>
      </c>
      <c r="I728" s="323"/>
      <c r="J728" s="324"/>
      <c r="K728" s="323"/>
      <c r="L728" s="324"/>
      <c r="M728" s="323"/>
      <c r="N728" s="324"/>
      <c r="O728" s="325"/>
      <c r="P728" s="324"/>
      <c r="Q728" s="323"/>
      <c r="R728" s="324"/>
      <c r="S728" s="325"/>
      <c r="T728" s="324"/>
      <c r="U728" s="323"/>
      <c r="V728" s="324"/>
      <c r="W728" s="325"/>
      <c r="X728" s="324"/>
      <c r="Y728" s="323"/>
      <c r="Z728" s="324"/>
      <c r="AA728" s="325"/>
      <c r="AB728" s="324"/>
      <c r="AC728" s="323"/>
      <c r="AD728" s="324"/>
      <c r="AE728" s="325"/>
      <c r="AF728" s="324"/>
      <c r="AG728" s="323"/>
      <c r="AH728" s="324"/>
      <c r="AI728" s="325"/>
      <c r="AJ728" s="324"/>
      <c r="AK728" s="323"/>
      <c r="AL728" s="324"/>
      <c r="AM728" s="325"/>
      <c r="AN728" s="324"/>
    </row>
    <row r="729" spans="1:40">
      <c r="A729" s="180" t="s">
        <v>643</v>
      </c>
      <c r="B729" s="179" t="s">
        <v>1062</v>
      </c>
      <c r="C729" s="180">
        <v>445018</v>
      </c>
      <c r="D729" s="181">
        <v>10</v>
      </c>
      <c r="E729" s="323">
        <v>2898</v>
      </c>
      <c r="F729" s="324">
        <v>2956</v>
      </c>
      <c r="G729" s="325">
        <v>8468</v>
      </c>
      <c r="H729" s="324">
        <v>8638</v>
      </c>
      <c r="I729" s="323"/>
      <c r="J729" s="324"/>
      <c r="K729" s="323"/>
      <c r="L729" s="324"/>
      <c r="M729" s="323"/>
      <c r="N729" s="324"/>
      <c r="O729" s="325"/>
      <c r="P729" s="324"/>
      <c r="Q729" s="323"/>
      <c r="R729" s="324"/>
      <c r="S729" s="325"/>
      <c r="T729" s="324"/>
      <c r="U729" s="323"/>
      <c r="V729" s="324"/>
      <c r="W729" s="325"/>
      <c r="X729" s="324"/>
      <c r="Y729" s="323"/>
      <c r="Z729" s="324"/>
      <c r="AA729" s="325"/>
      <c r="AB729" s="324"/>
      <c r="AC729" s="323"/>
      <c r="AD729" s="324"/>
      <c r="AE729" s="325"/>
      <c r="AF729" s="324"/>
      <c r="AG729" s="323"/>
      <c r="AH729" s="324"/>
      <c r="AI729" s="325"/>
      <c r="AJ729" s="324"/>
      <c r="AK729" s="323"/>
      <c r="AL729" s="324"/>
      <c r="AM729" s="325"/>
      <c r="AN729" s="324"/>
    </row>
    <row r="730" spans="1:40">
      <c r="A730" s="176" t="s">
        <v>643</v>
      </c>
      <c r="B730" s="179" t="s">
        <v>524</v>
      </c>
      <c r="C730" s="180">
        <v>444954</v>
      </c>
      <c r="D730" s="181">
        <v>10</v>
      </c>
      <c r="E730" s="323">
        <v>2856</v>
      </c>
      <c r="F730" s="324">
        <v>2856</v>
      </c>
      <c r="G730" s="325">
        <v>8142</v>
      </c>
      <c r="H730" s="324">
        <v>8160</v>
      </c>
      <c r="I730" s="323"/>
      <c r="J730" s="324"/>
      <c r="K730" s="323"/>
      <c r="L730" s="324"/>
      <c r="M730" s="323"/>
      <c r="N730" s="324"/>
      <c r="O730" s="325"/>
      <c r="P730" s="324"/>
      <c r="Q730" s="323"/>
      <c r="R730" s="324"/>
      <c r="S730" s="325"/>
      <c r="T730" s="324"/>
      <c r="U730" s="323"/>
      <c r="V730" s="324"/>
      <c r="W730" s="325"/>
      <c r="X730" s="324"/>
      <c r="Y730" s="323"/>
      <c r="Z730" s="324"/>
      <c r="AA730" s="325"/>
      <c r="AB730" s="324"/>
      <c r="AC730" s="323"/>
      <c r="AD730" s="324"/>
      <c r="AE730" s="325"/>
      <c r="AF730" s="324"/>
      <c r="AG730" s="323"/>
      <c r="AH730" s="324"/>
      <c r="AI730" s="325"/>
      <c r="AJ730" s="324"/>
      <c r="AK730" s="323"/>
      <c r="AL730" s="324"/>
      <c r="AM730" s="325"/>
      <c r="AN730" s="324"/>
    </row>
    <row r="731" spans="1:40">
      <c r="A731" s="180" t="s">
        <v>643</v>
      </c>
      <c r="B731" s="179" t="s">
        <v>525</v>
      </c>
      <c r="C731" s="180">
        <v>447582</v>
      </c>
      <c r="D731" s="181">
        <v>10</v>
      </c>
      <c r="E731" s="323">
        <v>2748</v>
      </c>
      <c r="F731" s="324">
        <v>2878</v>
      </c>
      <c r="G731" s="325">
        <v>6912</v>
      </c>
      <c r="H731" s="324">
        <v>7240</v>
      </c>
      <c r="I731" s="323"/>
      <c r="J731" s="324"/>
      <c r="K731" s="323"/>
      <c r="L731" s="324"/>
      <c r="M731" s="323"/>
      <c r="N731" s="324"/>
      <c r="O731" s="325"/>
      <c r="P731" s="324"/>
      <c r="Q731" s="323"/>
      <c r="R731" s="324"/>
      <c r="S731" s="325"/>
      <c r="T731" s="324"/>
      <c r="U731" s="323"/>
      <c r="V731" s="324"/>
      <c r="W731" s="325"/>
      <c r="X731" s="324"/>
      <c r="Y731" s="323"/>
      <c r="Z731" s="324"/>
      <c r="AA731" s="325"/>
      <c r="AB731" s="324"/>
      <c r="AC731" s="323"/>
      <c r="AD731" s="324"/>
      <c r="AE731" s="325"/>
      <c r="AF731" s="324"/>
      <c r="AG731" s="323"/>
      <c r="AH731" s="324"/>
      <c r="AI731" s="325"/>
      <c r="AJ731" s="324"/>
      <c r="AK731" s="323"/>
      <c r="AL731" s="324"/>
      <c r="AM731" s="325"/>
      <c r="AN731" s="324"/>
    </row>
    <row r="732" spans="1:40">
      <c r="A732" s="176" t="s">
        <v>643</v>
      </c>
      <c r="B732" s="388" t="s">
        <v>521</v>
      </c>
      <c r="C732" s="386">
        <v>443492</v>
      </c>
      <c r="D732" s="387">
        <v>10</v>
      </c>
      <c r="E732" s="323">
        <v>3312</v>
      </c>
      <c r="F732" s="324">
        <v>3432</v>
      </c>
      <c r="G732" s="325">
        <v>8110</v>
      </c>
      <c r="H732" s="324">
        <v>8504</v>
      </c>
      <c r="I732" s="323"/>
      <c r="J732" s="324"/>
      <c r="K732" s="323"/>
      <c r="L732" s="324"/>
      <c r="M732" s="323"/>
      <c r="N732" s="324"/>
      <c r="O732" s="325"/>
      <c r="P732" s="324"/>
      <c r="Q732" s="323"/>
      <c r="R732" s="324"/>
      <c r="S732" s="325"/>
      <c r="T732" s="324"/>
      <c r="U732" s="323"/>
      <c r="V732" s="324"/>
      <c r="W732" s="325"/>
      <c r="X732" s="324"/>
      <c r="Y732" s="323"/>
      <c r="Z732" s="324"/>
      <c r="AA732" s="325"/>
      <c r="AB732" s="324"/>
      <c r="AC732" s="323"/>
      <c r="AD732" s="324"/>
      <c r="AE732" s="325"/>
      <c r="AF732" s="324"/>
      <c r="AG732" s="323"/>
      <c r="AH732" s="324"/>
      <c r="AI732" s="325"/>
      <c r="AJ732" s="324"/>
      <c r="AK732" s="323"/>
      <c r="AL732" s="324"/>
      <c r="AM732" s="325"/>
      <c r="AN732" s="324"/>
    </row>
    <row r="733" spans="1:40">
      <c r="A733" s="176" t="s">
        <v>643</v>
      </c>
      <c r="B733" s="179" t="s">
        <v>527</v>
      </c>
      <c r="C733" s="178">
        <v>237817</v>
      </c>
      <c r="D733" s="178">
        <v>10</v>
      </c>
      <c r="E733" s="323">
        <v>1920</v>
      </c>
      <c r="F733" s="324">
        <v>2102</v>
      </c>
      <c r="G733" s="325">
        <v>6816</v>
      </c>
      <c r="H733" s="324">
        <v>6916</v>
      </c>
      <c r="I733" s="323"/>
      <c r="J733" s="324"/>
      <c r="K733" s="323"/>
      <c r="L733" s="324"/>
      <c r="M733" s="323"/>
      <c r="N733" s="324"/>
      <c r="O733" s="325"/>
      <c r="P733" s="324"/>
      <c r="Q733" s="323"/>
      <c r="R733" s="324"/>
      <c r="S733" s="325"/>
      <c r="T733" s="324"/>
      <c r="U733" s="323"/>
      <c r="V733" s="324"/>
      <c r="W733" s="325"/>
      <c r="X733" s="324"/>
      <c r="Y733" s="323"/>
      <c r="Z733" s="324"/>
      <c r="AA733" s="325"/>
      <c r="AB733" s="324"/>
      <c r="AC733" s="323"/>
      <c r="AD733" s="324"/>
      <c r="AE733" s="325"/>
      <c r="AF733" s="324"/>
      <c r="AG733" s="323"/>
      <c r="AH733" s="324"/>
      <c r="AI733" s="325"/>
      <c r="AJ733" s="324"/>
      <c r="AK733" s="323"/>
      <c r="AL733" s="324"/>
      <c r="AM733" s="325"/>
      <c r="AN733" s="324"/>
    </row>
    <row r="734" spans="1:40">
      <c r="A734" s="176" t="s">
        <v>643</v>
      </c>
      <c r="B734" s="179" t="s">
        <v>528</v>
      </c>
      <c r="C734" s="180">
        <v>238014</v>
      </c>
      <c r="D734" s="181">
        <v>10</v>
      </c>
      <c r="E734" s="323">
        <v>2198</v>
      </c>
      <c r="F734" s="324">
        <v>2358</v>
      </c>
      <c r="G734" s="325">
        <v>6510</v>
      </c>
      <c r="H734" s="324">
        <v>6670</v>
      </c>
      <c r="I734" s="323"/>
      <c r="J734" s="324"/>
      <c r="K734" s="323"/>
      <c r="L734" s="324"/>
      <c r="M734" s="323"/>
      <c r="N734" s="324"/>
      <c r="O734" s="325"/>
      <c r="P734" s="324"/>
      <c r="Q734" s="323"/>
      <c r="R734" s="324"/>
      <c r="S734" s="325"/>
      <c r="T734" s="324"/>
      <c r="U734" s="323"/>
      <c r="V734" s="324"/>
      <c r="W734" s="325"/>
      <c r="X734" s="324"/>
      <c r="Y734" s="323"/>
      <c r="Z734" s="324"/>
      <c r="AA734" s="325"/>
      <c r="AB734" s="324"/>
      <c r="AC734" s="323"/>
      <c r="AD734" s="324"/>
      <c r="AE734" s="325"/>
      <c r="AF734" s="324"/>
      <c r="AG734" s="323"/>
      <c r="AH734" s="324"/>
      <c r="AI734" s="325"/>
      <c r="AJ734" s="324"/>
      <c r="AK734" s="323"/>
      <c r="AL734" s="324"/>
      <c r="AM734" s="325"/>
      <c r="AN734" s="324"/>
    </row>
    <row r="735" spans="1:40">
      <c r="A735" s="176" t="s">
        <v>643</v>
      </c>
      <c r="B735" s="179" t="s">
        <v>78</v>
      </c>
      <c r="C735" s="178">
        <v>237172</v>
      </c>
      <c r="D735" s="178">
        <v>13</v>
      </c>
      <c r="E735" s="323"/>
      <c r="F735" s="324"/>
      <c r="G735" s="325"/>
      <c r="H735" s="324"/>
      <c r="I735" s="323"/>
      <c r="J735" s="324"/>
      <c r="K735" s="323"/>
      <c r="L735" s="324"/>
      <c r="M735" s="323"/>
      <c r="N735" s="324"/>
      <c r="O735" s="325"/>
      <c r="P735" s="324"/>
      <c r="Q735" s="323"/>
      <c r="R735" s="324"/>
      <c r="S735" s="325"/>
      <c r="T735" s="324"/>
      <c r="U735" s="323"/>
      <c r="V735" s="324"/>
      <c r="W735" s="325"/>
      <c r="X735" s="324"/>
      <c r="Y735" s="323"/>
      <c r="Z735" s="324"/>
      <c r="AA735" s="325"/>
      <c r="AB735" s="324"/>
      <c r="AC735" s="323"/>
      <c r="AD735" s="324"/>
      <c r="AE735" s="325"/>
      <c r="AF735" s="324"/>
      <c r="AG735" s="323"/>
      <c r="AH735" s="324"/>
      <c r="AI735" s="325"/>
      <c r="AJ735" s="324"/>
      <c r="AK735" s="323"/>
      <c r="AL735" s="324"/>
      <c r="AM735" s="325"/>
      <c r="AN735" s="324"/>
    </row>
    <row r="736" spans="1:40">
      <c r="A736" s="176" t="s">
        <v>643</v>
      </c>
      <c r="B736" s="179" t="s">
        <v>79</v>
      </c>
      <c r="C736" s="178">
        <v>237224</v>
      </c>
      <c r="D736" s="178">
        <v>13</v>
      </c>
      <c r="E736" s="323"/>
      <c r="F736" s="324"/>
      <c r="G736" s="325"/>
      <c r="H736" s="324"/>
      <c r="I736" s="323"/>
      <c r="J736" s="324"/>
      <c r="K736" s="323"/>
      <c r="L736" s="324"/>
      <c r="M736" s="323"/>
      <c r="N736" s="324"/>
      <c r="O736" s="325"/>
      <c r="P736" s="324"/>
      <c r="Q736" s="323"/>
      <c r="R736" s="324"/>
      <c r="S736" s="325"/>
      <c r="T736" s="324"/>
      <c r="U736" s="323"/>
      <c r="V736" s="324"/>
      <c r="W736" s="325"/>
      <c r="X736" s="324"/>
      <c r="Y736" s="323"/>
      <c r="Z736" s="324"/>
      <c r="AA736" s="325"/>
      <c r="AB736" s="324"/>
      <c r="AC736" s="323"/>
      <c r="AD736" s="324"/>
      <c r="AE736" s="325"/>
      <c r="AF736" s="324"/>
      <c r="AG736" s="323"/>
      <c r="AH736" s="324"/>
      <c r="AI736" s="325"/>
      <c r="AJ736" s="324"/>
      <c r="AK736" s="323"/>
      <c r="AL736" s="324"/>
      <c r="AM736" s="325"/>
      <c r="AN736" s="324"/>
    </row>
    <row r="737" spans="1:40">
      <c r="A737" s="176" t="s">
        <v>643</v>
      </c>
      <c r="B737" s="179" t="s">
        <v>80</v>
      </c>
      <c r="C737" s="178">
        <v>237242</v>
      </c>
      <c r="D737" s="178">
        <v>13</v>
      </c>
      <c r="E737" s="323"/>
      <c r="F737" s="324"/>
      <c r="G737" s="325"/>
      <c r="H737" s="324"/>
      <c r="I737" s="323"/>
      <c r="J737" s="324"/>
      <c r="K737" s="323"/>
      <c r="L737" s="324"/>
      <c r="M737" s="323"/>
      <c r="N737" s="324"/>
      <c r="O737" s="325"/>
      <c r="P737" s="324"/>
      <c r="Q737" s="323"/>
      <c r="R737" s="324"/>
      <c r="S737" s="325"/>
      <c r="T737" s="324"/>
      <c r="U737" s="323"/>
      <c r="V737" s="324"/>
      <c r="W737" s="325"/>
      <c r="X737" s="324"/>
      <c r="Y737" s="323"/>
      <c r="Z737" s="324"/>
      <c r="AA737" s="325"/>
      <c r="AB737" s="324"/>
      <c r="AC737" s="323"/>
      <c r="AD737" s="324"/>
      <c r="AE737" s="325"/>
      <c r="AF737" s="324"/>
      <c r="AG737" s="323"/>
      <c r="AH737" s="324"/>
      <c r="AI737" s="325"/>
      <c r="AJ737" s="324"/>
      <c r="AK737" s="323"/>
      <c r="AL737" s="324"/>
      <c r="AM737" s="325"/>
      <c r="AN737" s="324"/>
    </row>
    <row r="738" spans="1:40">
      <c r="A738" s="176" t="s">
        <v>643</v>
      </c>
      <c r="B738" s="179" t="s">
        <v>81</v>
      </c>
      <c r="C738" s="178">
        <v>430795</v>
      </c>
      <c r="D738" s="178">
        <v>13</v>
      </c>
      <c r="E738" s="323"/>
      <c r="F738" s="324"/>
      <c r="G738" s="325"/>
      <c r="H738" s="324"/>
      <c r="I738" s="323"/>
      <c r="J738" s="324"/>
      <c r="K738" s="323"/>
      <c r="L738" s="324"/>
      <c r="M738" s="323"/>
      <c r="N738" s="324"/>
      <c r="O738" s="325"/>
      <c r="P738" s="324"/>
      <c r="Q738" s="323"/>
      <c r="R738" s="324"/>
      <c r="S738" s="325"/>
      <c r="T738" s="324"/>
      <c r="U738" s="323"/>
      <c r="V738" s="324"/>
      <c r="W738" s="325"/>
      <c r="X738" s="324"/>
      <c r="Y738" s="323"/>
      <c r="Z738" s="324"/>
      <c r="AA738" s="325"/>
      <c r="AB738" s="324"/>
      <c r="AC738" s="323"/>
      <c r="AD738" s="324"/>
      <c r="AE738" s="325"/>
      <c r="AF738" s="324"/>
      <c r="AG738" s="323"/>
      <c r="AH738" s="324"/>
      <c r="AI738" s="325"/>
      <c r="AJ738" s="324"/>
      <c r="AK738" s="323"/>
      <c r="AL738" s="324"/>
      <c r="AM738" s="325"/>
      <c r="AN738" s="324"/>
    </row>
    <row r="739" spans="1:40">
      <c r="A739" s="176" t="s">
        <v>643</v>
      </c>
      <c r="B739" s="179" t="s">
        <v>82</v>
      </c>
      <c r="C739" s="178">
        <v>237844</v>
      </c>
      <c r="D739" s="178">
        <v>13</v>
      </c>
      <c r="E739" s="323"/>
      <c r="F739" s="324"/>
      <c r="G739" s="325"/>
      <c r="H739" s="324"/>
      <c r="I739" s="323"/>
      <c r="J739" s="324"/>
      <c r="K739" s="323"/>
      <c r="L739" s="324"/>
      <c r="M739" s="323"/>
      <c r="N739" s="324"/>
      <c r="O739" s="325"/>
      <c r="P739" s="324"/>
      <c r="Q739" s="323"/>
      <c r="R739" s="324"/>
      <c r="S739" s="325"/>
      <c r="T739" s="324"/>
      <c r="U739" s="323"/>
      <c r="V739" s="324"/>
      <c r="W739" s="325"/>
      <c r="X739" s="324"/>
      <c r="Y739" s="323"/>
      <c r="Z739" s="324"/>
      <c r="AA739" s="325"/>
      <c r="AB739" s="324"/>
      <c r="AC739" s="323"/>
      <c r="AD739" s="324"/>
      <c r="AE739" s="325"/>
      <c r="AF739" s="324"/>
      <c r="AG739" s="323"/>
      <c r="AH739" s="324"/>
      <c r="AI739" s="325"/>
      <c r="AJ739" s="324"/>
      <c r="AK739" s="323"/>
      <c r="AL739" s="324"/>
      <c r="AM739" s="325"/>
      <c r="AN739" s="324"/>
    </row>
    <row r="740" spans="1:40">
      <c r="A740" s="176" t="s">
        <v>643</v>
      </c>
      <c r="B740" s="179" t="s">
        <v>83</v>
      </c>
      <c r="C740" s="178">
        <v>237473</v>
      </c>
      <c r="D740" s="178">
        <v>13</v>
      </c>
      <c r="E740" s="323"/>
      <c r="F740" s="324"/>
      <c r="G740" s="325"/>
      <c r="H740" s="324"/>
      <c r="I740" s="323"/>
      <c r="J740" s="324"/>
      <c r="K740" s="323"/>
      <c r="L740" s="324"/>
      <c r="M740" s="323"/>
      <c r="N740" s="324"/>
      <c r="O740" s="325"/>
      <c r="P740" s="324"/>
      <c r="Q740" s="323"/>
      <c r="R740" s="324"/>
      <c r="S740" s="325"/>
      <c r="T740" s="324"/>
      <c r="U740" s="323"/>
      <c r="V740" s="324"/>
      <c r="W740" s="325"/>
      <c r="X740" s="324"/>
      <c r="Y740" s="323"/>
      <c r="Z740" s="324"/>
      <c r="AA740" s="325"/>
      <c r="AB740" s="324"/>
      <c r="AC740" s="323"/>
      <c r="AD740" s="324"/>
      <c r="AE740" s="325"/>
      <c r="AF740" s="324"/>
      <c r="AG740" s="323"/>
      <c r="AH740" s="324"/>
      <c r="AI740" s="325"/>
      <c r="AJ740" s="324"/>
      <c r="AK740" s="323"/>
      <c r="AL740" s="324"/>
      <c r="AM740" s="325"/>
      <c r="AN740" s="324"/>
    </row>
    <row r="741" spans="1:40">
      <c r="A741" s="176" t="s">
        <v>643</v>
      </c>
      <c r="B741" s="179" t="s">
        <v>84</v>
      </c>
      <c r="C741" s="178">
        <v>237516</v>
      </c>
      <c r="D741" s="178">
        <v>13</v>
      </c>
      <c r="E741" s="323"/>
      <c r="F741" s="324"/>
      <c r="G741" s="325"/>
      <c r="H741" s="324"/>
      <c r="I741" s="323"/>
      <c r="J741" s="324"/>
      <c r="K741" s="323"/>
      <c r="L741" s="324"/>
      <c r="M741" s="323"/>
      <c r="N741" s="324"/>
      <c r="O741" s="325"/>
      <c r="P741" s="324"/>
      <c r="Q741" s="323"/>
      <c r="R741" s="324"/>
      <c r="S741" s="325"/>
      <c r="T741" s="324"/>
      <c r="U741" s="323"/>
      <c r="V741" s="324"/>
      <c r="W741" s="325"/>
      <c r="X741" s="324"/>
      <c r="Y741" s="323"/>
      <c r="Z741" s="324"/>
      <c r="AA741" s="325"/>
      <c r="AB741" s="324"/>
      <c r="AC741" s="323"/>
      <c r="AD741" s="324"/>
      <c r="AE741" s="325"/>
      <c r="AF741" s="324"/>
      <c r="AG741" s="323"/>
      <c r="AH741" s="324"/>
      <c r="AI741" s="325"/>
      <c r="AJ741" s="324"/>
      <c r="AK741" s="323"/>
      <c r="AL741" s="324"/>
      <c r="AM741" s="325"/>
      <c r="AN741" s="324"/>
    </row>
    <row r="742" spans="1:40">
      <c r="A742" s="176" t="s">
        <v>643</v>
      </c>
      <c r="B742" s="179" t="s">
        <v>85</v>
      </c>
      <c r="C742" s="178">
        <v>237534</v>
      </c>
      <c r="D742" s="178">
        <v>13</v>
      </c>
      <c r="E742" s="323"/>
      <c r="F742" s="324"/>
      <c r="G742" s="325"/>
      <c r="H742" s="324"/>
      <c r="I742" s="323"/>
      <c r="J742" s="324"/>
      <c r="K742" s="323"/>
      <c r="L742" s="324"/>
      <c r="M742" s="323"/>
      <c r="N742" s="324"/>
      <c r="O742" s="325"/>
      <c r="P742" s="324"/>
      <c r="Q742" s="323"/>
      <c r="R742" s="324"/>
      <c r="S742" s="325"/>
      <c r="T742" s="324"/>
      <c r="U742" s="323"/>
      <c r="V742" s="324"/>
      <c r="W742" s="325"/>
      <c r="X742" s="324"/>
      <c r="Y742" s="323"/>
      <c r="Z742" s="324"/>
      <c r="AA742" s="325"/>
      <c r="AB742" s="324"/>
      <c r="AC742" s="323"/>
      <c r="AD742" s="324"/>
      <c r="AE742" s="325"/>
      <c r="AF742" s="324"/>
      <c r="AG742" s="323"/>
      <c r="AH742" s="324"/>
      <c r="AI742" s="325"/>
      <c r="AJ742" s="324"/>
      <c r="AK742" s="323"/>
      <c r="AL742" s="324"/>
      <c r="AM742" s="325"/>
      <c r="AN742" s="324"/>
    </row>
    <row r="743" spans="1:40">
      <c r="A743" s="176" t="s">
        <v>643</v>
      </c>
      <c r="B743" s="179" t="s">
        <v>86</v>
      </c>
      <c r="C743" s="178">
        <v>237543</v>
      </c>
      <c r="D743" s="178">
        <v>13</v>
      </c>
      <c r="E743" s="323"/>
      <c r="F743" s="324"/>
      <c r="G743" s="325"/>
      <c r="H743" s="324"/>
      <c r="I743" s="323"/>
      <c r="J743" s="324"/>
      <c r="K743" s="323"/>
      <c r="L743" s="324"/>
      <c r="M743" s="323"/>
      <c r="N743" s="324"/>
      <c r="O743" s="325"/>
      <c r="P743" s="324"/>
      <c r="Q743" s="323"/>
      <c r="R743" s="324"/>
      <c r="S743" s="325"/>
      <c r="T743" s="324"/>
      <c r="U743" s="323"/>
      <c r="V743" s="324"/>
      <c r="W743" s="325"/>
      <c r="X743" s="324"/>
      <c r="Y743" s="323"/>
      <c r="Z743" s="324"/>
      <c r="AA743" s="325"/>
      <c r="AB743" s="324"/>
      <c r="AC743" s="323"/>
      <c r="AD743" s="324"/>
      <c r="AE743" s="325"/>
      <c r="AF743" s="324"/>
      <c r="AG743" s="323"/>
      <c r="AH743" s="324"/>
      <c r="AI743" s="325"/>
      <c r="AJ743" s="324"/>
      <c r="AK743" s="323"/>
      <c r="AL743" s="324"/>
      <c r="AM743" s="325"/>
      <c r="AN743" s="324"/>
    </row>
    <row r="744" spans="1:40">
      <c r="A744" s="176" t="s">
        <v>643</v>
      </c>
      <c r="B744" s="179" t="s">
        <v>87</v>
      </c>
      <c r="C744" s="178">
        <v>368647</v>
      </c>
      <c r="D744" s="178">
        <v>13</v>
      </c>
      <c r="E744" s="323"/>
      <c r="F744" s="324"/>
      <c r="G744" s="325"/>
      <c r="H744" s="324"/>
      <c r="I744" s="323"/>
      <c r="J744" s="324"/>
      <c r="K744" s="323"/>
      <c r="L744" s="324"/>
      <c r="M744" s="323"/>
      <c r="N744" s="324"/>
      <c r="O744" s="325"/>
      <c r="P744" s="324"/>
      <c r="Q744" s="323"/>
      <c r="R744" s="324"/>
      <c r="S744" s="325"/>
      <c r="T744" s="324"/>
      <c r="U744" s="323"/>
      <c r="V744" s="324"/>
      <c r="W744" s="325"/>
      <c r="X744" s="324"/>
      <c r="Y744" s="323"/>
      <c r="Z744" s="324"/>
      <c r="AA744" s="325"/>
      <c r="AB744" s="324"/>
      <c r="AC744" s="323"/>
      <c r="AD744" s="324"/>
      <c r="AE744" s="325"/>
      <c r="AF744" s="324"/>
      <c r="AG744" s="323"/>
      <c r="AH744" s="324"/>
      <c r="AI744" s="325"/>
      <c r="AJ744" s="324"/>
      <c r="AK744" s="323"/>
      <c r="AL744" s="324"/>
      <c r="AM744" s="325"/>
      <c r="AN744" s="324"/>
    </row>
    <row r="745" spans="1:40">
      <c r="A745" s="176" t="s">
        <v>643</v>
      </c>
      <c r="B745" s="179" t="s">
        <v>88</v>
      </c>
      <c r="C745" s="178">
        <v>237561</v>
      </c>
      <c r="D745" s="178">
        <v>13</v>
      </c>
      <c r="E745" s="323"/>
      <c r="F745" s="324"/>
      <c r="G745" s="325"/>
      <c r="H745" s="324"/>
      <c r="I745" s="323"/>
      <c r="J745" s="324"/>
      <c r="K745" s="323"/>
      <c r="L745" s="324"/>
      <c r="M745" s="323"/>
      <c r="N745" s="324"/>
      <c r="O745" s="325"/>
      <c r="P745" s="324"/>
      <c r="Q745" s="323"/>
      <c r="R745" s="324"/>
      <c r="S745" s="325"/>
      <c r="T745" s="324"/>
      <c r="U745" s="323"/>
      <c r="V745" s="324"/>
      <c r="W745" s="325"/>
      <c r="X745" s="324"/>
      <c r="Y745" s="323"/>
      <c r="Z745" s="324"/>
      <c r="AA745" s="325"/>
      <c r="AB745" s="324"/>
      <c r="AC745" s="323"/>
      <c r="AD745" s="324"/>
      <c r="AE745" s="325"/>
      <c r="AF745" s="324"/>
      <c r="AG745" s="323"/>
      <c r="AH745" s="324"/>
      <c r="AI745" s="325"/>
      <c r="AJ745" s="324"/>
      <c r="AK745" s="323"/>
      <c r="AL745" s="324"/>
      <c r="AM745" s="325"/>
      <c r="AN745" s="324"/>
    </row>
    <row r="746" spans="1:40">
      <c r="A746" s="176" t="s">
        <v>643</v>
      </c>
      <c r="B746" s="179" t="s">
        <v>89</v>
      </c>
      <c r="C746" s="178">
        <v>419420</v>
      </c>
      <c r="D746" s="178">
        <v>13</v>
      </c>
      <c r="E746" s="323"/>
      <c r="F746" s="324"/>
      <c r="G746" s="325"/>
      <c r="H746" s="324"/>
      <c r="I746" s="323"/>
      <c r="J746" s="324"/>
      <c r="K746" s="323"/>
      <c r="L746" s="324"/>
      <c r="M746" s="323"/>
      <c r="N746" s="324"/>
      <c r="O746" s="325"/>
      <c r="P746" s="324"/>
      <c r="Q746" s="323"/>
      <c r="R746" s="324"/>
      <c r="S746" s="325"/>
      <c r="T746" s="324"/>
      <c r="U746" s="323"/>
      <c r="V746" s="324"/>
      <c r="W746" s="325"/>
      <c r="X746" s="324"/>
      <c r="Y746" s="323"/>
      <c r="Z746" s="324"/>
      <c r="AA746" s="325"/>
      <c r="AB746" s="324"/>
      <c r="AC746" s="323"/>
      <c r="AD746" s="324"/>
      <c r="AE746" s="325"/>
      <c r="AF746" s="324"/>
      <c r="AG746" s="323"/>
      <c r="AH746" s="324"/>
      <c r="AI746" s="325"/>
      <c r="AJ746" s="324"/>
      <c r="AK746" s="323"/>
      <c r="AL746" s="324"/>
      <c r="AM746" s="325"/>
      <c r="AN746" s="324"/>
    </row>
    <row r="747" spans="1:40">
      <c r="A747" s="176" t="s">
        <v>643</v>
      </c>
      <c r="B747" s="179" t="s">
        <v>90</v>
      </c>
      <c r="C747" s="178">
        <v>237729</v>
      </c>
      <c r="D747" s="178">
        <v>13</v>
      </c>
      <c r="E747" s="323"/>
      <c r="F747" s="324"/>
      <c r="G747" s="325"/>
      <c r="H747" s="324"/>
      <c r="I747" s="323"/>
      <c r="J747" s="324"/>
      <c r="K747" s="323"/>
      <c r="L747" s="324"/>
      <c r="M747" s="323"/>
      <c r="N747" s="324"/>
      <c r="O747" s="325"/>
      <c r="P747" s="324"/>
      <c r="Q747" s="323"/>
      <c r="R747" s="324"/>
      <c r="S747" s="325"/>
      <c r="T747" s="324"/>
      <c r="U747" s="323"/>
      <c r="V747" s="324"/>
      <c r="W747" s="325"/>
      <c r="X747" s="324"/>
      <c r="Y747" s="323"/>
      <c r="Z747" s="324"/>
      <c r="AA747" s="325"/>
      <c r="AB747" s="324"/>
      <c r="AC747" s="323"/>
      <c r="AD747" s="324"/>
      <c r="AE747" s="325"/>
      <c r="AF747" s="324"/>
      <c r="AG747" s="323"/>
      <c r="AH747" s="324"/>
      <c r="AI747" s="325"/>
      <c r="AJ747" s="324"/>
      <c r="AK747" s="323"/>
      <c r="AL747" s="324"/>
      <c r="AM747" s="325"/>
      <c r="AN747" s="324"/>
    </row>
    <row r="748" spans="1:40">
      <c r="A748" s="176" t="s">
        <v>643</v>
      </c>
      <c r="B748" s="179" t="s">
        <v>91</v>
      </c>
      <c r="C748" s="178">
        <v>237491</v>
      </c>
      <c r="D748" s="178">
        <v>13</v>
      </c>
      <c r="E748" s="323"/>
      <c r="F748" s="324"/>
      <c r="G748" s="325"/>
      <c r="H748" s="324"/>
      <c r="I748" s="323"/>
      <c r="J748" s="324"/>
      <c r="K748" s="323"/>
      <c r="L748" s="324"/>
      <c r="M748" s="323"/>
      <c r="N748" s="324"/>
      <c r="O748" s="325"/>
      <c r="P748" s="324"/>
      <c r="Q748" s="323"/>
      <c r="R748" s="324"/>
      <c r="S748" s="325"/>
      <c r="T748" s="324"/>
      <c r="U748" s="323"/>
      <c r="V748" s="324"/>
      <c r="W748" s="325"/>
      <c r="X748" s="324"/>
      <c r="Y748" s="323"/>
      <c r="Z748" s="324"/>
      <c r="AA748" s="325"/>
      <c r="AB748" s="324"/>
      <c r="AC748" s="323"/>
      <c r="AD748" s="324"/>
      <c r="AE748" s="325"/>
      <c r="AF748" s="324"/>
      <c r="AG748" s="323"/>
      <c r="AH748" s="324"/>
      <c r="AI748" s="325"/>
      <c r="AJ748" s="324"/>
      <c r="AK748" s="323"/>
      <c r="AL748" s="324"/>
      <c r="AM748" s="325"/>
      <c r="AN748" s="324"/>
    </row>
    <row r="749" spans="1:40">
      <c r="A749" s="176" t="s">
        <v>643</v>
      </c>
      <c r="B749" s="179" t="s">
        <v>92</v>
      </c>
      <c r="C749" s="178">
        <v>364575</v>
      </c>
      <c r="D749" s="178">
        <v>13</v>
      </c>
      <c r="E749" s="323"/>
      <c r="F749" s="324"/>
      <c r="G749" s="325"/>
      <c r="H749" s="324"/>
      <c r="I749" s="323"/>
      <c r="J749" s="324"/>
      <c r="K749" s="323"/>
      <c r="L749" s="324"/>
      <c r="M749" s="323"/>
      <c r="N749" s="324"/>
      <c r="O749" s="325"/>
      <c r="P749" s="324"/>
      <c r="Q749" s="323"/>
      <c r="R749" s="324"/>
      <c r="S749" s="325"/>
      <c r="T749" s="324"/>
      <c r="U749" s="323"/>
      <c r="V749" s="324"/>
      <c r="W749" s="325"/>
      <c r="X749" s="324"/>
      <c r="Y749" s="323"/>
      <c r="Z749" s="324"/>
      <c r="AA749" s="325"/>
      <c r="AB749" s="324"/>
      <c r="AC749" s="323"/>
      <c r="AD749" s="324"/>
      <c r="AE749" s="325"/>
      <c r="AF749" s="324"/>
      <c r="AG749" s="323"/>
      <c r="AH749" s="324"/>
      <c r="AI749" s="325"/>
      <c r="AJ749" s="324"/>
      <c r="AK749" s="323"/>
      <c r="AL749" s="324"/>
      <c r="AM749" s="325"/>
      <c r="AN749" s="324"/>
    </row>
    <row r="750" spans="1:40">
      <c r="A750" s="176" t="s">
        <v>643</v>
      </c>
      <c r="B750" s="179" t="s">
        <v>93</v>
      </c>
      <c r="C750" s="178">
        <v>238096</v>
      </c>
      <c r="D750" s="178">
        <v>13</v>
      </c>
      <c r="E750" s="323"/>
      <c r="F750" s="324"/>
      <c r="G750" s="325"/>
      <c r="H750" s="324"/>
      <c r="I750" s="323"/>
      <c r="J750" s="324"/>
      <c r="K750" s="323"/>
      <c r="L750" s="324"/>
      <c r="M750" s="323"/>
      <c r="N750" s="324"/>
      <c r="O750" s="325"/>
      <c r="P750" s="324"/>
      <c r="Q750" s="323"/>
      <c r="R750" s="324"/>
      <c r="S750" s="325"/>
      <c r="T750" s="324"/>
      <c r="U750" s="323"/>
      <c r="V750" s="324"/>
      <c r="W750" s="325"/>
      <c r="X750" s="324"/>
      <c r="Y750" s="323"/>
      <c r="Z750" s="324"/>
      <c r="AA750" s="325"/>
      <c r="AB750" s="324"/>
      <c r="AC750" s="323"/>
      <c r="AD750" s="324"/>
      <c r="AE750" s="325"/>
      <c r="AF750" s="324"/>
      <c r="AG750" s="323"/>
      <c r="AH750" s="324"/>
      <c r="AI750" s="325"/>
      <c r="AJ750" s="324"/>
      <c r="AK750" s="323"/>
      <c r="AL750" s="324"/>
      <c r="AM750" s="325"/>
      <c r="AN750" s="324"/>
    </row>
    <row r="751" spans="1:40">
      <c r="A751" s="176" t="s">
        <v>643</v>
      </c>
      <c r="B751" s="179" t="s">
        <v>94</v>
      </c>
      <c r="C751" s="178">
        <v>431169</v>
      </c>
      <c r="D751" s="178">
        <v>14</v>
      </c>
      <c r="E751" s="323"/>
      <c r="F751" s="324"/>
      <c r="G751" s="325"/>
      <c r="H751" s="324"/>
      <c r="I751" s="323"/>
      <c r="J751" s="324"/>
      <c r="K751" s="323"/>
      <c r="L751" s="324"/>
      <c r="M751" s="323"/>
      <c r="N751" s="324"/>
      <c r="O751" s="325"/>
      <c r="P751" s="324"/>
      <c r="Q751" s="323"/>
      <c r="R751" s="324"/>
      <c r="S751" s="325"/>
      <c r="T751" s="324"/>
      <c r="U751" s="323"/>
      <c r="V751" s="324"/>
      <c r="W751" s="325"/>
      <c r="X751" s="324"/>
      <c r="Y751" s="323"/>
      <c r="Z751" s="324"/>
      <c r="AA751" s="325"/>
      <c r="AB751" s="324"/>
      <c r="AC751" s="323"/>
      <c r="AD751" s="324"/>
      <c r="AE751" s="325"/>
      <c r="AF751" s="324"/>
      <c r="AG751" s="323"/>
      <c r="AH751" s="324"/>
      <c r="AI751" s="325"/>
      <c r="AJ751" s="324"/>
      <c r="AK751" s="323"/>
      <c r="AL751" s="324"/>
      <c r="AM751" s="325"/>
      <c r="AN751" s="324"/>
    </row>
    <row r="752" spans="1:40">
      <c r="A752" s="176" t="s">
        <v>643</v>
      </c>
      <c r="B752" s="179" t="s">
        <v>529</v>
      </c>
      <c r="C752" s="178">
        <v>237880</v>
      </c>
      <c r="D752" s="178">
        <v>15</v>
      </c>
      <c r="E752" s="323"/>
      <c r="F752" s="324"/>
      <c r="G752" s="325"/>
      <c r="H752" s="324"/>
      <c r="I752" s="323"/>
      <c r="J752" s="324"/>
      <c r="K752" s="323"/>
      <c r="L752" s="324"/>
      <c r="M752" s="323"/>
      <c r="N752" s="324"/>
      <c r="O752" s="325"/>
      <c r="P752" s="324"/>
      <c r="Q752" s="323"/>
      <c r="R752" s="324"/>
      <c r="S752" s="325"/>
      <c r="T752" s="324"/>
      <c r="U752" s="323"/>
      <c r="V752" s="324"/>
      <c r="W752" s="325"/>
      <c r="X752" s="324"/>
      <c r="Y752" s="323"/>
      <c r="Z752" s="324"/>
      <c r="AA752" s="325"/>
      <c r="AB752" s="324"/>
      <c r="AC752" s="323"/>
      <c r="AD752" s="324"/>
      <c r="AE752" s="325"/>
      <c r="AF752" s="324"/>
      <c r="AG752" s="323">
        <v>20426</v>
      </c>
      <c r="AH752" s="324">
        <v>19950</v>
      </c>
      <c r="AI752" s="325">
        <v>50546</v>
      </c>
      <c r="AJ752" s="324">
        <v>49950</v>
      </c>
      <c r="AK752" s="323"/>
      <c r="AL752" s="324"/>
      <c r="AM752" s="325"/>
      <c r="AN752" s="324"/>
    </row>
    <row r="753" spans="13:40">
      <c r="M753" s="467"/>
      <c r="N753" s="467"/>
      <c r="O753" s="467"/>
      <c r="P753" s="467"/>
      <c r="Q753" s="467"/>
      <c r="R753" s="467"/>
      <c r="S753" s="467"/>
      <c r="T753" s="467"/>
      <c r="U753" s="467"/>
      <c r="V753" s="467"/>
      <c r="W753" s="467"/>
      <c r="X753" s="467"/>
      <c r="Y753" s="467"/>
      <c r="Z753" s="467"/>
      <c r="AA753" s="467"/>
      <c r="AB753" s="467"/>
      <c r="AC753" s="467"/>
      <c r="AD753" s="467"/>
      <c r="AE753" s="467"/>
      <c r="AF753" s="467"/>
      <c r="AG753" s="467"/>
      <c r="AH753" s="467"/>
      <c r="AI753" s="467"/>
      <c r="AJ753" s="467"/>
      <c r="AK753" s="467"/>
      <c r="AL753" s="467"/>
      <c r="AM753" s="467"/>
      <c r="AN753" s="467"/>
    </row>
  </sheetData>
  <sortState ref="A6:AS45">
    <sortCondition ref="A6:A45"/>
    <sortCondition ref="D6:D45"/>
    <sortCondition ref="B6:B45"/>
  </sortState>
  <phoneticPr fontId="0" type="noConversion"/>
  <conditionalFormatting sqref="AN6 AL6 L6 J6 N6 P6 H6 F6 AJ6 AF6 AB6 X6 AH6 AD6 Z6 R6 V6">
    <cfRule type="expression" dxfId="39" priority="133" stopIfTrue="1">
      <formula>F6&lt;E6</formula>
    </cfRule>
    <cfRule type="expression" dxfId="38" priority="134" stopIfTrue="1">
      <formula>F6&gt;(E6+(E6*0.1))</formula>
    </cfRule>
  </conditionalFormatting>
  <conditionalFormatting sqref="T6">
    <cfRule type="expression" dxfId="37" priority="45" stopIfTrue="1">
      <formula>T6&lt;S6</formula>
    </cfRule>
    <cfRule type="expression" dxfId="36" priority="46" stopIfTrue="1">
      <formula>T6&gt;(S6+(S6*0.1))</formula>
    </cfRule>
  </conditionalFormatting>
  <conditionalFormatting sqref="AN460 AL460 P460 R460 T460 V460 X460 Z460 AB460 AD460 AF460 AH460 AJ460 F460 H460 J460 L460 N460 H475:H486 F475:F486 AN475:AN486 AL475:AL486 AJ475:AJ486 AH475:AH486 AF475:AF486 AD475:AD486 AB475:AB486 Z475:Z486 X475:X486 V475:V486 T475:T486 R475:R486 P475:P486 N475:N486 L475:L486 J475:J486 N511:N566 P511:P566 R511:R566 T511:T566 V511:V566 X511:X566 Z511:Z566 AB511:AB566 AD511:AD566 AF511:AF566 AH511:AH566 AJ511:AJ566 AL511:AL566 AN511:AN566 F511:F566 H511:H566 J511:J566 L511:L566 AN300:AN305 AL300:AL305 N570:N608 P570:P608 R570:R608 T570:T608 V570:V608 X570:X608 Z570:Z608 AB570:AB608 AD570:AD608 AF570:AF608 AH570:AH608 AJ570:AJ608 AL570:AL608 AN570:AN608 F570:F608 H570:H608 J570:J608 L570:L608 P620:P752 R620:R752 T620:T752 V620:V752 X620:X752 Z620:Z752 AB620:AB752 AD620:AD752 AF620:AF752 AH620:AH752 AJ620:AJ752 AL620:AL752 AN620:AN752 F620:F752 H620:H752 J620:J752 L620:L752 N620:N752 H314 AL375:AL445 AN375:AN445 F316:F445 F314 J316:J445 J314 L316:L445 L314 N316:N445 N314 P316:P445 P314 R316:R445 R314 T316:T445 T314 V316:V445 V314 X316:X445 X314 Z316:Z445 Z314 AB316:AB445 AB314 AD316:AD445 AD314 AF316:AF445 AF314 AH316:AH445 AH314 AJ316:AJ445 AJ314 AL316:AL373 AL314 AN316:AN373 AN314 H316:H445 AL6:AL298 AN6:AN298 N6:N305 AJ6:AJ305 AH6:AH305 AF6:AF305 AD6:AD305 AB6:AB305 Z6:Z305 X6:X305 V6:V305 T6:T305 R6:R305 P6:P305 L6:L305 J6:J305 H6:H305 F6:F305">
    <cfRule type="cellIs" dxfId="35" priority="35" stopIfTrue="1" operator="greaterThan">
      <formula>E6+(E6*0.1)</formula>
    </cfRule>
    <cfRule type="cellIs" dxfId="34" priority="36" stopIfTrue="1" operator="lessThan">
      <formula>E6-(E6*0.1)</formula>
    </cfRule>
  </conditionalFormatting>
  <conditionalFormatting sqref="AL374 AN374">
    <cfRule type="cellIs" dxfId="33" priority="33" stopIfTrue="1" operator="greaterThan">
      <formula>AK299+(AK299*0.1)</formula>
    </cfRule>
    <cfRule type="cellIs" dxfId="32" priority="34" stopIfTrue="1" operator="lessThan">
      <formula>AK299-(AK299*0.1)</formula>
    </cfRule>
  </conditionalFormatting>
  <conditionalFormatting sqref="H461:H474 J461:J474 L461:L474 N461:N474 P461:P474 R461:R474 T461:T474 V461:V474 X461:X474 Z461:Z474 AB461:AB474 AD461:AD474 AF461:AF474 AH461:AH474 AJ461:AJ474 AL461:AL474 AN461:AN474 AN446:AN459 AL446:AL459 AJ446:AJ459 AH446:AH459 AF446:AF459 AD446:AD459 AB446:AB459 Z446:Z459 X446:X459 V446:V459 T446:T459 R446:R459 P446:P459 N446:N459 L446:L459 J446:J459 H446:H459 F446:F459 F461:F474">
    <cfRule type="cellIs" dxfId="31" priority="31" stopIfTrue="1" operator="greaterThan">
      <formula>E446+(E446*0.1)</formula>
    </cfRule>
    <cfRule type="cellIs" dxfId="30" priority="32" stopIfTrue="1" operator="lessThan">
      <formula>E446-(E446*0.1)</formula>
    </cfRule>
  </conditionalFormatting>
  <conditionalFormatting sqref="L487:L499 N487:N499 P487:P499 R487:R499 T487:T499 V487:V499 X487:X499 Z487:Z499 AB487:AB499 AD487:AD499 AF487:AF499 AH487:AH499 AJ487:AJ499 AL487:AL499 AN487:AN499 F487:F499 H487:H499 J487:J499">
    <cfRule type="cellIs" dxfId="29" priority="29" stopIfTrue="1" operator="greaterThan">
      <formula>E487+(E487*0.1)</formula>
    </cfRule>
    <cfRule type="cellIs" dxfId="28" priority="30" stopIfTrue="1" operator="lessThan">
      <formula>E487-(E487*0.1)</formula>
    </cfRule>
  </conditionalFormatting>
  <conditionalFormatting sqref="H500:H510 F500:F510 AN500:AN510 AL500:AL510 AJ500:AJ510 AH500:AH510 AF500:AF510 AD500:AD510 AB500:AB510 Z500:Z510 X500:X510 V500:V510 T500:T510 R500:R510 P500:P510 N500:N510 L500:L510 J500:J510">
    <cfRule type="cellIs" dxfId="27" priority="27" stopIfTrue="1" operator="greaterThan">
      <formula>E500+(E500*0.1)</formula>
    </cfRule>
    <cfRule type="cellIs" dxfId="26" priority="28" stopIfTrue="1" operator="lessThan">
      <formula>E500-(E500*0.1)</formula>
    </cfRule>
  </conditionalFormatting>
  <conditionalFormatting sqref="H567:H569 AL567:AL569 AJ567:AJ569 AH567:AH569 AF567:AF569 AD567:AD569 AB567:AB569 Z567:Z569 X567:X569 V567:V569 T567:T569 R567:R569 P567:P569 N567:N569 L567:L569 J567:J569 F567:F569 AN567:AN569">
    <cfRule type="cellIs" dxfId="25" priority="25" stopIfTrue="1" operator="greaterThan">
      <formula>E567+(E567*0.1)</formula>
    </cfRule>
    <cfRule type="cellIs" dxfId="24" priority="26" stopIfTrue="1" operator="lessThan">
      <formula>E567-(E567*0.1)</formula>
    </cfRule>
  </conditionalFormatting>
  <conditionalFormatting sqref="AN609:AN619 AL609:AL619 AJ609:AJ619 AH609:AH619 AF609:AF619 AD609:AD619 AB609:AB619 Z609:Z619 X609:X619 V609:V619 T609:T619 R609:R619 P609:P619 N609:N619 L609:L619 J609:J619 H609:H619 F609:F619">
    <cfRule type="cellIs" dxfId="23" priority="23" stopIfTrue="1" operator="greaterThan">
      <formula>E609+(E609*0.1)</formula>
    </cfRule>
    <cfRule type="cellIs" dxfId="22" priority="24" stopIfTrue="1" operator="lessThan">
      <formula>E609-(E609*0.1)</formula>
    </cfRule>
  </conditionalFormatting>
  <conditionalFormatting sqref="N610">
    <cfRule type="cellIs" dxfId="21" priority="21" stopIfTrue="1" operator="greaterThan">
      <formula>M610+(M610*0.1)</formula>
    </cfRule>
    <cfRule type="cellIs" dxfId="20" priority="22" stopIfTrue="1" operator="lessThan">
      <formula>M610-(M610*0.1)</formula>
    </cfRule>
  </conditionalFormatting>
  <conditionalFormatting sqref="P610">
    <cfRule type="cellIs" dxfId="19" priority="19" stopIfTrue="1" operator="greaterThan">
      <formula>O610+(O610*0.1)</formula>
    </cfRule>
    <cfRule type="cellIs" dxfId="18" priority="20" stopIfTrue="1" operator="lessThan">
      <formula>O610-(O610*0.1)</formula>
    </cfRule>
  </conditionalFormatting>
  <conditionalFormatting sqref="R609:R619">
    <cfRule type="cellIs" dxfId="17" priority="17" stopIfTrue="1" operator="greaterThan">
      <formula>Q609+(Q609*0.1)</formula>
    </cfRule>
    <cfRule type="cellIs" dxfId="16" priority="18" stopIfTrue="1" operator="lessThan">
      <formula>Q609-(Q609*0.1)</formula>
    </cfRule>
  </conditionalFormatting>
  <conditionalFormatting sqref="T609:T619">
    <cfRule type="cellIs" dxfId="15" priority="15" stopIfTrue="1" operator="greaterThan">
      <formula>S609+(S609*0.1)</formula>
    </cfRule>
    <cfRule type="cellIs" dxfId="14" priority="16" stopIfTrue="1" operator="lessThan">
      <formula>S609-(S609*0.1)</formula>
    </cfRule>
  </conditionalFormatting>
  <conditionalFormatting sqref="V609:V619">
    <cfRule type="cellIs" dxfId="13" priority="13" stopIfTrue="1" operator="greaterThan">
      <formula>U609+(U609*0.1)</formula>
    </cfRule>
    <cfRule type="cellIs" dxfId="12" priority="14" stopIfTrue="1" operator="lessThan">
      <formula>U609-(U609*0.1)</formula>
    </cfRule>
  </conditionalFormatting>
  <conditionalFormatting sqref="X609:X619">
    <cfRule type="cellIs" dxfId="11" priority="11" stopIfTrue="1" operator="greaterThan">
      <formula>W609+(W609*0.1)</formula>
    </cfRule>
    <cfRule type="cellIs" dxfId="10" priority="12" stopIfTrue="1" operator="lessThan">
      <formula>W609-(W609*0.1)</formula>
    </cfRule>
  </conditionalFormatting>
  <conditionalFormatting sqref="Z609:Z619">
    <cfRule type="cellIs" dxfId="9" priority="9" stopIfTrue="1" operator="greaterThan">
      <formula>Y609+(Y609*0.1)</formula>
    </cfRule>
    <cfRule type="cellIs" dxfId="8" priority="10" stopIfTrue="1" operator="lessThan">
      <formula>Y609-(Y609*0.1)</formula>
    </cfRule>
  </conditionalFormatting>
  <conditionalFormatting sqref="AB609:AB619">
    <cfRule type="cellIs" dxfId="7" priority="7" stopIfTrue="1" operator="greaterThan">
      <formula>AA609+(AA609*0.1)</formula>
    </cfRule>
    <cfRule type="cellIs" dxfId="6" priority="8" stopIfTrue="1" operator="lessThan">
      <formula>AA609-(AA609*0.1)</formula>
    </cfRule>
  </conditionalFormatting>
  <conditionalFormatting sqref="N315 P315 R315 T315 V315 X315 Z315 AB315 AD315 AF315 AH315 AJ315 AL315 AN315 L315 F315 H315 H306:H313 F306:F313 L306:L313 AN306:AN313 AL306:AL313 AJ306:AJ313 AH306:AH313 AF306:AF313 AD306:AD313 AB306:AB313 Z306:Z313 X306:X313 V306:V313 T306:T313 R306:R313 P306:P313 N306:N313 J306:J313 J315">
    <cfRule type="cellIs" dxfId="5" priority="5" stopIfTrue="1" operator="greaterThan">
      <formula>E306+(E306*0.1)</formula>
    </cfRule>
    <cfRule type="cellIs" dxfId="4" priority="6" stopIfTrue="1" operator="lessThan">
      <formula>E306-(E306*0.1)</formula>
    </cfRule>
  </conditionalFormatting>
  <conditionalFormatting sqref="N79:N83 P79:P83 R79:R83 T79:T83 V79:V83 X79:X83 Z79:Z83 AB79:AB83 AD79:AD83 AF79:AF83 AH79:AH83 AJ79:AJ83 AL79:AL83 AN79:AN83 F79:F83 H79:H83 L79:L83 J79:J83">
    <cfRule type="cellIs" dxfId="3" priority="1" stopIfTrue="1" operator="greaterThan">
      <formula>E79+(E79*0.1)</formula>
    </cfRule>
    <cfRule type="cellIs" dxfId="2" priority="2" stopIfTrue="1" operator="lessThan">
      <formula>E79-(E79*0.1)</formula>
    </cfRule>
  </conditionalFormatting>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sheetPr>
    <tabColor indexed="58"/>
  </sheetPr>
  <dimension ref="A1:E28"/>
  <sheetViews>
    <sheetView view="pageBreakPreview" zoomScaleNormal="100" zoomScaleSheetLayoutView="100" workbookViewId="0">
      <pane ySplit="4" topLeftCell="A5" activePane="bottomLeft" state="frozen"/>
      <selection pane="bottomLeft" activeCell="C5" sqref="C5"/>
    </sheetView>
  </sheetViews>
  <sheetFormatPr defaultRowHeight="11.25"/>
  <cols>
    <col min="1" max="1" width="15.625" style="267" customWidth="1"/>
    <col min="2" max="2" width="16.75" style="267" customWidth="1"/>
    <col min="3" max="3" width="29.875" style="267" customWidth="1"/>
    <col min="4" max="4" width="18.5" style="267" customWidth="1"/>
    <col min="5" max="5" width="38.625" style="267" customWidth="1"/>
    <col min="6" max="6" width="43.875" style="268" customWidth="1"/>
    <col min="7" max="7" width="9" style="268" customWidth="1"/>
    <col min="8" max="256" width="9" style="268"/>
    <col min="257" max="257" width="17.5" style="268" customWidth="1"/>
    <col min="258" max="258" width="16.75" style="268" customWidth="1"/>
    <col min="259" max="259" width="26.375" style="268" customWidth="1"/>
    <col min="260" max="260" width="18.5" style="268" customWidth="1"/>
    <col min="261" max="261" width="40.375" style="268" customWidth="1"/>
    <col min="262" max="512" width="9" style="268"/>
    <col min="513" max="513" width="17.5" style="268" customWidth="1"/>
    <col min="514" max="514" width="16.75" style="268" customWidth="1"/>
    <col min="515" max="515" width="26.375" style="268" customWidth="1"/>
    <col min="516" max="516" width="18.5" style="268" customWidth="1"/>
    <col min="517" max="517" width="40.375" style="268" customWidth="1"/>
    <col min="518" max="768" width="9" style="268"/>
    <col min="769" max="769" width="17.5" style="268" customWidth="1"/>
    <col min="770" max="770" width="16.75" style="268" customWidth="1"/>
    <col min="771" max="771" width="26.375" style="268" customWidth="1"/>
    <col min="772" max="772" width="18.5" style="268" customWidth="1"/>
    <col min="773" max="773" width="40.375" style="268" customWidth="1"/>
    <col min="774" max="1024" width="9" style="268"/>
    <col min="1025" max="1025" width="17.5" style="268" customWidth="1"/>
    <col min="1026" max="1026" width="16.75" style="268" customWidth="1"/>
    <col min="1027" max="1027" width="26.375" style="268" customWidth="1"/>
    <col min="1028" max="1028" width="18.5" style="268" customWidth="1"/>
    <col min="1029" max="1029" width="40.375" style="268" customWidth="1"/>
    <col min="1030" max="1280" width="9" style="268"/>
    <col min="1281" max="1281" width="17.5" style="268" customWidth="1"/>
    <col min="1282" max="1282" width="16.75" style="268" customWidth="1"/>
    <col min="1283" max="1283" width="26.375" style="268" customWidth="1"/>
    <col min="1284" max="1284" width="18.5" style="268" customWidth="1"/>
    <col min="1285" max="1285" width="40.375" style="268" customWidth="1"/>
    <col min="1286" max="1536" width="9" style="268"/>
    <col min="1537" max="1537" width="17.5" style="268" customWidth="1"/>
    <col min="1538" max="1538" width="16.75" style="268" customWidth="1"/>
    <col min="1539" max="1539" width="26.375" style="268" customWidth="1"/>
    <col min="1540" max="1540" width="18.5" style="268" customWidth="1"/>
    <col min="1541" max="1541" width="40.375" style="268" customWidth="1"/>
    <col min="1542" max="1792" width="9" style="268"/>
    <col min="1793" max="1793" width="17.5" style="268" customWidth="1"/>
    <col min="1794" max="1794" width="16.75" style="268" customWidth="1"/>
    <col min="1795" max="1795" width="26.375" style="268" customWidth="1"/>
    <col min="1796" max="1796" width="18.5" style="268" customWidth="1"/>
    <col min="1797" max="1797" width="40.375" style="268" customWidth="1"/>
    <col min="1798" max="2048" width="9" style="268"/>
    <col min="2049" max="2049" width="17.5" style="268" customWidth="1"/>
    <col min="2050" max="2050" width="16.75" style="268" customWidth="1"/>
    <col min="2051" max="2051" width="26.375" style="268" customWidth="1"/>
    <col min="2052" max="2052" width="18.5" style="268" customWidth="1"/>
    <col min="2053" max="2053" width="40.375" style="268" customWidth="1"/>
    <col min="2054" max="2304" width="9" style="268"/>
    <col min="2305" max="2305" width="17.5" style="268" customWidth="1"/>
    <col min="2306" max="2306" width="16.75" style="268" customWidth="1"/>
    <col min="2307" max="2307" width="26.375" style="268" customWidth="1"/>
    <col min="2308" max="2308" width="18.5" style="268" customWidth="1"/>
    <col min="2309" max="2309" width="40.375" style="268" customWidth="1"/>
    <col min="2310" max="2560" width="9" style="268"/>
    <col min="2561" max="2561" width="17.5" style="268" customWidth="1"/>
    <col min="2562" max="2562" width="16.75" style="268" customWidth="1"/>
    <col min="2563" max="2563" width="26.375" style="268" customWidth="1"/>
    <col min="2564" max="2564" width="18.5" style="268" customWidth="1"/>
    <col min="2565" max="2565" width="40.375" style="268" customWidth="1"/>
    <col min="2566" max="2816" width="9" style="268"/>
    <col min="2817" max="2817" width="17.5" style="268" customWidth="1"/>
    <col min="2818" max="2818" width="16.75" style="268" customWidth="1"/>
    <col min="2819" max="2819" width="26.375" style="268" customWidth="1"/>
    <col min="2820" max="2820" width="18.5" style="268" customWidth="1"/>
    <col min="2821" max="2821" width="40.375" style="268" customWidth="1"/>
    <col min="2822" max="3072" width="9" style="268"/>
    <col min="3073" max="3073" width="17.5" style="268" customWidth="1"/>
    <col min="3074" max="3074" width="16.75" style="268" customWidth="1"/>
    <col min="3075" max="3075" width="26.375" style="268" customWidth="1"/>
    <col min="3076" max="3076" width="18.5" style="268" customWidth="1"/>
    <col min="3077" max="3077" width="40.375" style="268" customWidth="1"/>
    <col min="3078" max="3328" width="9" style="268"/>
    <col min="3329" max="3329" width="17.5" style="268" customWidth="1"/>
    <col min="3330" max="3330" width="16.75" style="268" customWidth="1"/>
    <col min="3331" max="3331" width="26.375" style="268" customWidth="1"/>
    <col min="3332" max="3332" width="18.5" style="268" customWidth="1"/>
    <col min="3333" max="3333" width="40.375" style="268" customWidth="1"/>
    <col min="3334" max="3584" width="9" style="268"/>
    <col min="3585" max="3585" width="17.5" style="268" customWidth="1"/>
    <col min="3586" max="3586" width="16.75" style="268" customWidth="1"/>
    <col min="3587" max="3587" width="26.375" style="268" customWidth="1"/>
    <col min="3588" max="3588" width="18.5" style="268" customWidth="1"/>
    <col min="3589" max="3589" width="40.375" style="268" customWidth="1"/>
    <col min="3590" max="3840" width="9" style="268"/>
    <col min="3841" max="3841" width="17.5" style="268" customWidth="1"/>
    <col min="3842" max="3842" width="16.75" style="268" customWidth="1"/>
    <col min="3843" max="3843" width="26.375" style="268" customWidth="1"/>
    <col min="3844" max="3844" width="18.5" style="268" customWidth="1"/>
    <col min="3845" max="3845" width="40.375" style="268" customWidth="1"/>
    <col min="3846" max="4096" width="9" style="268"/>
    <col min="4097" max="4097" width="17.5" style="268" customWidth="1"/>
    <col min="4098" max="4098" width="16.75" style="268" customWidth="1"/>
    <col min="4099" max="4099" width="26.375" style="268" customWidth="1"/>
    <col min="4100" max="4100" width="18.5" style="268" customWidth="1"/>
    <col min="4101" max="4101" width="40.375" style="268" customWidth="1"/>
    <col min="4102" max="4352" width="9" style="268"/>
    <col min="4353" max="4353" width="17.5" style="268" customWidth="1"/>
    <col min="4354" max="4354" width="16.75" style="268" customWidth="1"/>
    <col min="4355" max="4355" width="26.375" style="268" customWidth="1"/>
    <col min="4356" max="4356" width="18.5" style="268" customWidth="1"/>
    <col min="4357" max="4357" width="40.375" style="268" customWidth="1"/>
    <col min="4358" max="4608" width="9" style="268"/>
    <col min="4609" max="4609" width="17.5" style="268" customWidth="1"/>
    <col min="4610" max="4610" width="16.75" style="268" customWidth="1"/>
    <col min="4611" max="4611" width="26.375" style="268" customWidth="1"/>
    <col min="4612" max="4612" width="18.5" style="268" customWidth="1"/>
    <col min="4613" max="4613" width="40.375" style="268" customWidth="1"/>
    <col min="4614" max="4864" width="9" style="268"/>
    <col min="4865" max="4865" width="17.5" style="268" customWidth="1"/>
    <col min="4866" max="4866" width="16.75" style="268" customWidth="1"/>
    <col min="4867" max="4867" width="26.375" style="268" customWidth="1"/>
    <col min="4868" max="4868" width="18.5" style="268" customWidth="1"/>
    <col min="4869" max="4869" width="40.375" style="268" customWidth="1"/>
    <col min="4870" max="5120" width="9" style="268"/>
    <col min="5121" max="5121" width="17.5" style="268" customWidth="1"/>
    <col min="5122" max="5122" width="16.75" style="268" customWidth="1"/>
    <col min="5123" max="5123" width="26.375" style="268" customWidth="1"/>
    <col min="5124" max="5124" width="18.5" style="268" customWidth="1"/>
    <col min="5125" max="5125" width="40.375" style="268" customWidth="1"/>
    <col min="5126" max="5376" width="9" style="268"/>
    <col min="5377" max="5377" width="17.5" style="268" customWidth="1"/>
    <col min="5378" max="5378" width="16.75" style="268" customWidth="1"/>
    <col min="5379" max="5379" width="26.375" style="268" customWidth="1"/>
    <col min="5380" max="5380" width="18.5" style="268" customWidth="1"/>
    <col min="5381" max="5381" width="40.375" style="268" customWidth="1"/>
    <col min="5382" max="5632" width="9" style="268"/>
    <col min="5633" max="5633" width="17.5" style="268" customWidth="1"/>
    <col min="5634" max="5634" width="16.75" style="268" customWidth="1"/>
    <col min="5635" max="5635" width="26.375" style="268" customWidth="1"/>
    <col min="5636" max="5636" width="18.5" style="268" customWidth="1"/>
    <col min="5637" max="5637" width="40.375" style="268" customWidth="1"/>
    <col min="5638" max="5888" width="9" style="268"/>
    <col min="5889" max="5889" width="17.5" style="268" customWidth="1"/>
    <col min="5890" max="5890" width="16.75" style="268" customWidth="1"/>
    <col min="5891" max="5891" width="26.375" style="268" customWidth="1"/>
    <col min="5892" max="5892" width="18.5" style="268" customWidth="1"/>
    <col min="5893" max="5893" width="40.375" style="268" customWidth="1"/>
    <col min="5894" max="6144" width="9" style="268"/>
    <col min="6145" max="6145" width="17.5" style="268" customWidth="1"/>
    <col min="6146" max="6146" width="16.75" style="268" customWidth="1"/>
    <col min="6147" max="6147" width="26.375" style="268" customWidth="1"/>
    <col min="6148" max="6148" width="18.5" style="268" customWidth="1"/>
    <col min="6149" max="6149" width="40.375" style="268" customWidth="1"/>
    <col min="6150" max="6400" width="9" style="268"/>
    <col min="6401" max="6401" width="17.5" style="268" customWidth="1"/>
    <col min="6402" max="6402" width="16.75" style="268" customWidth="1"/>
    <col min="6403" max="6403" width="26.375" style="268" customWidth="1"/>
    <col min="6404" max="6404" width="18.5" style="268" customWidth="1"/>
    <col min="6405" max="6405" width="40.375" style="268" customWidth="1"/>
    <col min="6406" max="6656" width="9" style="268"/>
    <col min="6657" max="6657" width="17.5" style="268" customWidth="1"/>
    <col min="6658" max="6658" width="16.75" style="268" customWidth="1"/>
    <col min="6659" max="6659" width="26.375" style="268" customWidth="1"/>
    <col min="6660" max="6660" width="18.5" style="268" customWidth="1"/>
    <col min="6661" max="6661" width="40.375" style="268" customWidth="1"/>
    <col min="6662" max="6912" width="9" style="268"/>
    <col min="6913" max="6913" width="17.5" style="268" customWidth="1"/>
    <col min="6914" max="6914" width="16.75" style="268" customWidth="1"/>
    <col min="6915" max="6915" width="26.375" style="268" customWidth="1"/>
    <col min="6916" max="6916" width="18.5" style="268" customWidth="1"/>
    <col min="6917" max="6917" width="40.375" style="268" customWidth="1"/>
    <col min="6918" max="7168" width="9" style="268"/>
    <col min="7169" max="7169" width="17.5" style="268" customWidth="1"/>
    <col min="7170" max="7170" width="16.75" style="268" customWidth="1"/>
    <col min="7171" max="7171" width="26.375" style="268" customWidth="1"/>
    <col min="7172" max="7172" width="18.5" style="268" customWidth="1"/>
    <col min="7173" max="7173" width="40.375" style="268" customWidth="1"/>
    <col min="7174" max="7424" width="9" style="268"/>
    <col min="7425" max="7425" width="17.5" style="268" customWidth="1"/>
    <col min="7426" max="7426" width="16.75" style="268" customWidth="1"/>
    <col min="7427" max="7427" width="26.375" style="268" customWidth="1"/>
    <col min="7428" max="7428" width="18.5" style="268" customWidth="1"/>
    <col min="7429" max="7429" width="40.375" style="268" customWidth="1"/>
    <col min="7430" max="7680" width="9" style="268"/>
    <col min="7681" max="7681" width="17.5" style="268" customWidth="1"/>
    <col min="7682" max="7682" width="16.75" style="268" customWidth="1"/>
    <col min="7683" max="7683" width="26.375" style="268" customWidth="1"/>
    <col min="7684" max="7684" width="18.5" style="268" customWidth="1"/>
    <col min="7685" max="7685" width="40.375" style="268" customWidth="1"/>
    <col min="7686" max="7936" width="9" style="268"/>
    <col min="7937" max="7937" width="17.5" style="268" customWidth="1"/>
    <col min="7938" max="7938" width="16.75" style="268" customWidth="1"/>
    <col min="7939" max="7939" width="26.375" style="268" customWidth="1"/>
    <col min="7940" max="7940" width="18.5" style="268" customWidth="1"/>
    <col min="7941" max="7941" width="40.375" style="268" customWidth="1"/>
    <col min="7942" max="8192" width="9" style="268"/>
    <col min="8193" max="8193" width="17.5" style="268" customWidth="1"/>
    <col min="8194" max="8194" width="16.75" style="268" customWidth="1"/>
    <col min="8195" max="8195" width="26.375" style="268" customWidth="1"/>
    <col min="8196" max="8196" width="18.5" style="268" customWidth="1"/>
    <col min="8197" max="8197" width="40.375" style="268" customWidth="1"/>
    <col min="8198" max="8448" width="9" style="268"/>
    <col min="8449" max="8449" width="17.5" style="268" customWidth="1"/>
    <col min="8450" max="8450" width="16.75" style="268" customWidth="1"/>
    <col min="8451" max="8451" width="26.375" style="268" customWidth="1"/>
    <col min="8452" max="8452" width="18.5" style="268" customWidth="1"/>
    <col min="8453" max="8453" width="40.375" style="268" customWidth="1"/>
    <col min="8454" max="8704" width="9" style="268"/>
    <col min="8705" max="8705" width="17.5" style="268" customWidth="1"/>
    <col min="8706" max="8706" width="16.75" style="268" customWidth="1"/>
    <col min="8707" max="8707" width="26.375" style="268" customWidth="1"/>
    <col min="8708" max="8708" width="18.5" style="268" customWidth="1"/>
    <col min="8709" max="8709" width="40.375" style="268" customWidth="1"/>
    <col min="8710" max="8960" width="9" style="268"/>
    <col min="8961" max="8961" width="17.5" style="268" customWidth="1"/>
    <col min="8962" max="8962" width="16.75" style="268" customWidth="1"/>
    <col min="8963" max="8963" width="26.375" style="268" customWidth="1"/>
    <col min="8964" max="8964" width="18.5" style="268" customWidth="1"/>
    <col min="8965" max="8965" width="40.375" style="268" customWidth="1"/>
    <col min="8966" max="9216" width="9" style="268"/>
    <col min="9217" max="9217" width="17.5" style="268" customWidth="1"/>
    <col min="9218" max="9218" width="16.75" style="268" customWidth="1"/>
    <col min="9219" max="9219" width="26.375" style="268" customWidth="1"/>
    <col min="9220" max="9220" width="18.5" style="268" customWidth="1"/>
    <col min="9221" max="9221" width="40.375" style="268" customWidth="1"/>
    <col min="9222" max="9472" width="9" style="268"/>
    <col min="9473" max="9473" width="17.5" style="268" customWidth="1"/>
    <col min="9474" max="9474" width="16.75" style="268" customWidth="1"/>
    <col min="9475" max="9475" width="26.375" style="268" customWidth="1"/>
    <col min="9476" max="9476" width="18.5" style="268" customWidth="1"/>
    <col min="9477" max="9477" width="40.375" style="268" customWidth="1"/>
    <col min="9478" max="9728" width="9" style="268"/>
    <col min="9729" max="9729" width="17.5" style="268" customWidth="1"/>
    <col min="9730" max="9730" width="16.75" style="268" customWidth="1"/>
    <col min="9731" max="9731" width="26.375" style="268" customWidth="1"/>
    <col min="9732" max="9732" width="18.5" style="268" customWidth="1"/>
    <col min="9733" max="9733" width="40.375" style="268" customWidth="1"/>
    <col min="9734" max="9984" width="9" style="268"/>
    <col min="9985" max="9985" width="17.5" style="268" customWidth="1"/>
    <col min="9986" max="9986" width="16.75" style="268" customWidth="1"/>
    <col min="9987" max="9987" width="26.375" style="268" customWidth="1"/>
    <col min="9988" max="9988" width="18.5" style="268" customWidth="1"/>
    <col min="9989" max="9989" width="40.375" style="268" customWidth="1"/>
    <col min="9990" max="10240" width="9" style="268"/>
    <col min="10241" max="10241" width="17.5" style="268" customWidth="1"/>
    <col min="10242" max="10242" width="16.75" style="268" customWidth="1"/>
    <col min="10243" max="10243" width="26.375" style="268" customWidth="1"/>
    <col min="10244" max="10244" width="18.5" style="268" customWidth="1"/>
    <col min="10245" max="10245" width="40.375" style="268" customWidth="1"/>
    <col min="10246" max="10496" width="9" style="268"/>
    <col min="10497" max="10497" width="17.5" style="268" customWidth="1"/>
    <col min="10498" max="10498" width="16.75" style="268" customWidth="1"/>
    <col min="10499" max="10499" width="26.375" style="268" customWidth="1"/>
    <col min="10500" max="10500" width="18.5" style="268" customWidth="1"/>
    <col min="10501" max="10501" width="40.375" style="268" customWidth="1"/>
    <col min="10502" max="10752" width="9" style="268"/>
    <col min="10753" max="10753" width="17.5" style="268" customWidth="1"/>
    <col min="10754" max="10754" width="16.75" style="268" customWidth="1"/>
    <col min="10755" max="10755" width="26.375" style="268" customWidth="1"/>
    <col min="10756" max="10756" width="18.5" style="268" customWidth="1"/>
    <col min="10757" max="10757" width="40.375" style="268" customWidth="1"/>
    <col min="10758" max="11008" width="9" style="268"/>
    <col min="11009" max="11009" width="17.5" style="268" customWidth="1"/>
    <col min="11010" max="11010" width="16.75" style="268" customWidth="1"/>
    <col min="11011" max="11011" width="26.375" style="268" customWidth="1"/>
    <col min="11012" max="11012" width="18.5" style="268" customWidth="1"/>
    <col min="11013" max="11013" width="40.375" style="268" customWidth="1"/>
    <col min="11014" max="11264" width="9" style="268"/>
    <col min="11265" max="11265" width="17.5" style="268" customWidth="1"/>
    <col min="11266" max="11266" width="16.75" style="268" customWidth="1"/>
    <col min="11267" max="11267" width="26.375" style="268" customWidth="1"/>
    <col min="11268" max="11268" width="18.5" style="268" customWidth="1"/>
    <col min="11269" max="11269" width="40.375" style="268" customWidth="1"/>
    <col min="11270" max="11520" width="9" style="268"/>
    <col min="11521" max="11521" width="17.5" style="268" customWidth="1"/>
    <col min="11522" max="11522" width="16.75" style="268" customWidth="1"/>
    <col min="11523" max="11523" width="26.375" style="268" customWidth="1"/>
    <col min="11524" max="11524" width="18.5" style="268" customWidth="1"/>
    <col min="11525" max="11525" width="40.375" style="268" customWidth="1"/>
    <col min="11526" max="11776" width="9" style="268"/>
    <col min="11777" max="11777" width="17.5" style="268" customWidth="1"/>
    <col min="11778" max="11778" width="16.75" style="268" customWidth="1"/>
    <col min="11779" max="11779" width="26.375" style="268" customWidth="1"/>
    <col min="11780" max="11780" width="18.5" style="268" customWidth="1"/>
    <col min="11781" max="11781" width="40.375" style="268" customWidth="1"/>
    <col min="11782" max="12032" width="9" style="268"/>
    <col min="12033" max="12033" width="17.5" style="268" customWidth="1"/>
    <col min="12034" max="12034" width="16.75" style="268" customWidth="1"/>
    <col min="12035" max="12035" width="26.375" style="268" customWidth="1"/>
    <col min="12036" max="12036" width="18.5" style="268" customWidth="1"/>
    <col min="12037" max="12037" width="40.375" style="268" customWidth="1"/>
    <col min="12038" max="12288" width="9" style="268"/>
    <col min="12289" max="12289" width="17.5" style="268" customWidth="1"/>
    <col min="12290" max="12290" width="16.75" style="268" customWidth="1"/>
    <col min="12291" max="12291" width="26.375" style="268" customWidth="1"/>
    <col min="12292" max="12292" width="18.5" style="268" customWidth="1"/>
    <col min="12293" max="12293" width="40.375" style="268" customWidth="1"/>
    <col min="12294" max="12544" width="9" style="268"/>
    <col min="12545" max="12545" width="17.5" style="268" customWidth="1"/>
    <col min="12546" max="12546" width="16.75" style="268" customWidth="1"/>
    <col min="12547" max="12547" width="26.375" style="268" customWidth="1"/>
    <col min="12548" max="12548" width="18.5" style="268" customWidth="1"/>
    <col min="12549" max="12549" width="40.375" style="268" customWidth="1"/>
    <col min="12550" max="12800" width="9" style="268"/>
    <col min="12801" max="12801" width="17.5" style="268" customWidth="1"/>
    <col min="12802" max="12802" width="16.75" style="268" customWidth="1"/>
    <col min="12803" max="12803" width="26.375" style="268" customWidth="1"/>
    <col min="12804" max="12804" width="18.5" style="268" customWidth="1"/>
    <col min="12805" max="12805" width="40.375" style="268" customWidth="1"/>
    <col min="12806" max="13056" width="9" style="268"/>
    <col min="13057" max="13057" width="17.5" style="268" customWidth="1"/>
    <col min="13058" max="13058" width="16.75" style="268" customWidth="1"/>
    <col min="13059" max="13059" width="26.375" style="268" customWidth="1"/>
    <col min="13060" max="13060" width="18.5" style="268" customWidth="1"/>
    <col min="13061" max="13061" width="40.375" style="268" customWidth="1"/>
    <col min="13062" max="13312" width="9" style="268"/>
    <col min="13313" max="13313" width="17.5" style="268" customWidth="1"/>
    <col min="13314" max="13314" width="16.75" style="268" customWidth="1"/>
    <col min="13315" max="13315" width="26.375" style="268" customWidth="1"/>
    <col min="13316" max="13316" width="18.5" style="268" customWidth="1"/>
    <col min="13317" max="13317" width="40.375" style="268" customWidth="1"/>
    <col min="13318" max="13568" width="9" style="268"/>
    <col min="13569" max="13569" width="17.5" style="268" customWidth="1"/>
    <col min="13570" max="13570" width="16.75" style="268" customWidth="1"/>
    <col min="13571" max="13571" width="26.375" style="268" customWidth="1"/>
    <col min="13572" max="13572" width="18.5" style="268" customWidth="1"/>
    <col min="13573" max="13573" width="40.375" style="268" customWidth="1"/>
    <col min="13574" max="13824" width="9" style="268"/>
    <col min="13825" max="13825" width="17.5" style="268" customWidth="1"/>
    <col min="13826" max="13826" width="16.75" style="268" customWidth="1"/>
    <col min="13827" max="13827" width="26.375" style="268" customWidth="1"/>
    <col min="13828" max="13828" width="18.5" style="268" customWidth="1"/>
    <col min="13829" max="13829" width="40.375" style="268" customWidth="1"/>
    <col min="13830" max="14080" width="9" style="268"/>
    <col min="14081" max="14081" width="17.5" style="268" customWidth="1"/>
    <col min="14082" max="14082" width="16.75" style="268" customWidth="1"/>
    <col min="14083" max="14083" width="26.375" style="268" customWidth="1"/>
    <col min="14084" max="14084" width="18.5" style="268" customWidth="1"/>
    <col min="14085" max="14085" width="40.375" style="268" customWidth="1"/>
    <col min="14086" max="14336" width="9" style="268"/>
    <col min="14337" max="14337" width="17.5" style="268" customWidth="1"/>
    <col min="14338" max="14338" width="16.75" style="268" customWidth="1"/>
    <col min="14339" max="14339" width="26.375" style="268" customWidth="1"/>
    <col min="14340" max="14340" width="18.5" style="268" customWidth="1"/>
    <col min="14341" max="14341" width="40.375" style="268" customWidth="1"/>
    <col min="14342" max="14592" width="9" style="268"/>
    <col min="14593" max="14593" width="17.5" style="268" customWidth="1"/>
    <col min="14594" max="14594" width="16.75" style="268" customWidth="1"/>
    <col min="14595" max="14595" width="26.375" style="268" customWidth="1"/>
    <col min="14596" max="14596" width="18.5" style="268" customWidth="1"/>
    <col min="14597" max="14597" width="40.375" style="268" customWidth="1"/>
    <col min="14598" max="14848" width="9" style="268"/>
    <col min="14849" max="14849" width="17.5" style="268" customWidth="1"/>
    <col min="14850" max="14850" width="16.75" style="268" customWidth="1"/>
    <col min="14851" max="14851" width="26.375" style="268" customWidth="1"/>
    <col min="14852" max="14852" width="18.5" style="268" customWidth="1"/>
    <col min="14853" max="14853" width="40.375" style="268" customWidth="1"/>
    <col min="14854" max="15104" width="9" style="268"/>
    <col min="15105" max="15105" width="17.5" style="268" customWidth="1"/>
    <col min="15106" max="15106" width="16.75" style="268" customWidth="1"/>
    <col min="15107" max="15107" width="26.375" style="268" customWidth="1"/>
    <col min="15108" max="15108" width="18.5" style="268" customWidth="1"/>
    <col min="15109" max="15109" width="40.375" style="268" customWidth="1"/>
    <col min="15110" max="15360" width="9" style="268"/>
    <col min="15361" max="15361" width="17.5" style="268" customWidth="1"/>
    <col min="15362" max="15362" width="16.75" style="268" customWidth="1"/>
    <col min="15363" max="15363" width="26.375" style="268" customWidth="1"/>
    <col min="15364" max="15364" width="18.5" style="268" customWidth="1"/>
    <col min="15365" max="15365" width="40.375" style="268" customWidth="1"/>
    <col min="15366" max="15616" width="9" style="268"/>
    <col min="15617" max="15617" width="17.5" style="268" customWidth="1"/>
    <col min="15618" max="15618" width="16.75" style="268" customWidth="1"/>
    <col min="15619" max="15619" width="26.375" style="268" customWidth="1"/>
    <col min="15620" max="15620" width="18.5" style="268" customWidth="1"/>
    <col min="15621" max="15621" width="40.375" style="268" customWidth="1"/>
    <col min="15622" max="15872" width="9" style="268"/>
    <col min="15873" max="15873" width="17.5" style="268" customWidth="1"/>
    <col min="15874" max="15874" width="16.75" style="268" customWidth="1"/>
    <col min="15875" max="15875" width="26.375" style="268" customWidth="1"/>
    <col min="15876" max="15876" width="18.5" style="268" customWidth="1"/>
    <col min="15877" max="15877" width="40.375" style="268" customWidth="1"/>
    <col min="15878" max="16128" width="9" style="268"/>
    <col min="16129" max="16129" width="17.5" style="268" customWidth="1"/>
    <col min="16130" max="16130" width="16.75" style="268" customWidth="1"/>
    <col min="16131" max="16131" width="26.375" style="268" customWidth="1"/>
    <col min="16132" max="16132" width="18.5" style="268" customWidth="1"/>
    <col min="16133" max="16133" width="40.375" style="268" customWidth="1"/>
    <col min="16134" max="16384" width="9" style="268"/>
  </cols>
  <sheetData>
    <row r="1" spans="1:5" ht="18">
      <c r="A1" s="28" t="s">
        <v>1126</v>
      </c>
      <c r="B1" s="472"/>
      <c r="C1" s="472"/>
      <c r="D1" s="472"/>
      <c r="E1" s="472"/>
    </row>
    <row r="2" spans="1:5" ht="18">
      <c r="A2" s="28"/>
      <c r="B2" s="472"/>
      <c r="C2" s="472"/>
      <c r="D2" s="472"/>
      <c r="E2" s="472"/>
    </row>
    <row r="3" spans="1:5" s="261" customFormat="1" ht="18">
      <c r="A3" s="558" t="s">
        <v>1044</v>
      </c>
      <c r="B3" s="473"/>
      <c r="C3" s="473"/>
      <c r="D3" s="473"/>
      <c r="E3" s="473"/>
    </row>
    <row r="4" spans="1:5" s="262" customFormat="1" ht="55.5" customHeight="1">
      <c r="A4" s="389" t="s">
        <v>878</v>
      </c>
      <c r="B4" s="389" t="s">
        <v>879</v>
      </c>
      <c r="C4" s="389" t="s">
        <v>880</v>
      </c>
      <c r="D4" s="407" t="s">
        <v>881</v>
      </c>
      <c r="E4" s="389" t="s">
        <v>1142</v>
      </c>
    </row>
    <row r="5" spans="1:5" s="263" customFormat="1" ht="106.5" customHeight="1">
      <c r="A5" s="391" t="s">
        <v>882</v>
      </c>
      <c r="B5" s="408" t="s">
        <v>883</v>
      </c>
      <c r="C5" s="392" t="s">
        <v>884</v>
      </c>
      <c r="D5" s="393" t="s">
        <v>885</v>
      </c>
      <c r="E5" s="392" t="s">
        <v>886</v>
      </c>
    </row>
    <row r="6" spans="1:5" s="263" customFormat="1" ht="83.25" customHeight="1">
      <c r="A6" s="391" t="s">
        <v>887</v>
      </c>
      <c r="B6" s="408" t="s">
        <v>888</v>
      </c>
      <c r="C6" s="392" t="s">
        <v>889</v>
      </c>
      <c r="D6" s="396" t="s">
        <v>890</v>
      </c>
      <c r="E6" s="392" t="s">
        <v>891</v>
      </c>
    </row>
    <row r="7" spans="1:5" s="263" customFormat="1" ht="48.75" customHeight="1">
      <c r="A7" s="486" t="s">
        <v>1156</v>
      </c>
      <c r="B7" s="487" t="s">
        <v>892</v>
      </c>
      <c r="C7" s="488" t="s">
        <v>893</v>
      </c>
      <c r="D7" s="489" t="s">
        <v>890</v>
      </c>
      <c r="E7" s="488" t="s">
        <v>894</v>
      </c>
    </row>
    <row r="8" spans="1:5" s="263" customFormat="1" ht="128.25" customHeight="1">
      <c r="A8" s="391" t="s">
        <v>895</v>
      </c>
      <c r="B8" s="408" t="s">
        <v>896</v>
      </c>
      <c r="C8" s="392" t="s">
        <v>897</v>
      </c>
      <c r="D8" s="394" t="s">
        <v>898</v>
      </c>
      <c r="E8" s="392" t="s">
        <v>899</v>
      </c>
    </row>
    <row r="9" spans="1:5" s="263" customFormat="1" ht="174" customHeight="1">
      <c r="A9" s="391" t="s">
        <v>1066</v>
      </c>
      <c r="B9" s="412" t="s">
        <v>1083</v>
      </c>
      <c r="C9" s="392" t="s">
        <v>1132</v>
      </c>
      <c r="D9" s="396" t="s">
        <v>890</v>
      </c>
      <c r="E9" s="395" t="s">
        <v>900</v>
      </c>
    </row>
    <row r="10" spans="1:5" s="263" customFormat="1" ht="393" customHeight="1">
      <c r="A10" s="409" t="s">
        <v>901</v>
      </c>
      <c r="B10" s="410" t="s">
        <v>902</v>
      </c>
      <c r="C10" s="490" t="s">
        <v>1133</v>
      </c>
      <c r="D10" s="491" t="s">
        <v>1134</v>
      </c>
      <c r="E10" s="490" t="s">
        <v>1146</v>
      </c>
    </row>
    <row r="11" spans="1:5" s="475" customFormat="1" ht="101.25">
      <c r="A11" s="409" t="s">
        <v>1159</v>
      </c>
      <c r="B11" s="410"/>
      <c r="C11" s="490"/>
      <c r="D11" s="491"/>
      <c r="E11" s="490" t="s">
        <v>1147</v>
      </c>
    </row>
    <row r="12" spans="1:5" s="264" customFormat="1" ht="206.25" customHeight="1">
      <c r="A12" s="391" t="s">
        <v>903</v>
      </c>
      <c r="B12" s="391" t="s">
        <v>904</v>
      </c>
      <c r="C12" s="392" t="s">
        <v>1135</v>
      </c>
      <c r="D12" s="396" t="s">
        <v>1136</v>
      </c>
      <c r="E12" s="392" t="s">
        <v>905</v>
      </c>
    </row>
    <row r="13" spans="1:5" s="30" customFormat="1" ht="180">
      <c r="A13" s="391" t="s">
        <v>906</v>
      </c>
      <c r="B13" s="408" t="s">
        <v>1084</v>
      </c>
      <c r="C13" s="392" t="s">
        <v>1085</v>
      </c>
      <c r="D13" s="398" t="s">
        <v>1086</v>
      </c>
      <c r="E13" s="392" t="s">
        <v>907</v>
      </c>
    </row>
    <row r="14" spans="1:5" s="263" customFormat="1" ht="209.25" customHeight="1">
      <c r="A14" s="391" t="s">
        <v>908</v>
      </c>
      <c r="B14" s="392" t="s">
        <v>909</v>
      </c>
      <c r="C14" s="393" t="s">
        <v>910</v>
      </c>
      <c r="D14" s="392" t="s">
        <v>911</v>
      </c>
      <c r="E14" s="392" t="s">
        <v>912</v>
      </c>
    </row>
    <row r="15" spans="1:5" s="263" customFormat="1" ht="66.75" customHeight="1">
      <c r="A15" s="391" t="s">
        <v>913</v>
      </c>
      <c r="B15" s="408" t="s">
        <v>914</v>
      </c>
      <c r="C15" s="392" t="s">
        <v>915</v>
      </c>
      <c r="D15" s="396" t="s">
        <v>916</v>
      </c>
      <c r="E15" s="392" t="s">
        <v>917</v>
      </c>
    </row>
    <row r="16" spans="1:5" s="30" customFormat="1" ht="78.75">
      <c r="A16" s="391" t="s">
        <v>918</v>
      </c>
      <c r="B16" s="392" t="s">
        <v>1087</v>
      </c>
      <c r="C16" s="392" t="s">
        <v>919</v>
      </c>
      <c r="D16" s="396" t="s">
        <v>916</v>
      </c>
      <c r="E16" s="392" t="s">
        <v>917</v>
      </c>
    </row>
    <row r="17" spans="1:5" s="30" customFormat="1" ht="56.25">
      <c r="A17" s="391" t="s">
        <v>920</v>
      </c>
      <c r="B17" s="408" t="s">
        <v>1088</v>
      </c>
      <c r="C17" s="392" t="s">
        <v>921</v>
      </c>
      <c r="D17" s="393" t="s">
        <v>1089</v>
      </c>
      <c r="E17" s="392" t="s">
        <v>916</v>
      </c>
    </row>
    <row r="18" spans="1:5" s="263" customFormat="1" ht="96" customHeight="1">
      <c r="A18" s="391" t="s">
        <v>922</v>
      </c>
      <c r="B18" s="408" t="s">
        <v>324</v>
      </c>
      <c r="C18" s="392" t="s">
        <v>923</v>
      </c>
      <c r="D18" s="393" t="s">
        <v>924</v>
      </c>
      <c r="E18" s="392" t="s">
        <v>925</v>
      </c>
    </row>
    <row r="19" spans="1:5" s="263" customFormat="1" ht="101.25" customHeight="1">
      <c r="A19" s="458" t="s">
        <v>926</v>
      </c>
      <c r="B19" s="408" t="s">
        <v>927</v>
      </c>
      <c r="C19" s="392" t="s">
        <v>928</v>
      </c>
      <c r="D19" s="396" t="s">
        <v>929</v>
      </c>
      <c r="E19" s="392" t="s">
        <v>930</v>
      </c>
    </row>
    <row r="20" spans="1:5" s="263" customFormat="1" ht="126" customHeight="1">
      <c r="A20" s="391" t="s">
        <v>931</v>
      </c>
      <c r="B20" s="412" t="s">
        <v>1137</v>
      </c>
      <c r="C20" s="392" t="s">
        <v>932</v>
      </c>
      <c r="D20" s="396" t="s">
        <v>1073</v>
      </c>
      <c r="E20" s="392" t="s">
        <v>933</v>
      </c>
    </row>
    <row r="21" spans="1:5" s="265" customFormat="1" ht="328.5" customHeight="1">
      <c r="A21" s="409" t="s">
        <v>934</v>
      </c>
      <c r="B21" s="411" t="s">
        <v>935</v>
      </c>
      <c r="C21" s="411" t="s">
        <v>1040</v>
      </c>
      <c r="D21" s="411" t="s">
        <v>936</v>
      </c>
      <c r="E21" s="411" t="s">
        <v>937</v>
      </c>
    </row>
    <row r="22" spans="1:5" s="265" customFormat="1" ht="78" customHeight="1">
      <c r="A22" s="391" t="s">
        <v>938</v>
      </c>
      <c r="B22" s="408" t="s">
        <v>939</v>
      </c>
      <c r="C22" s="392" t="s">
        <v>1148</v>
      </c>
      <c r="D22" s="392" t="s">
        <v>940</v>
      </c>
      <c r="E22" s="392" t="s">
        <v>941</v>
      </c>
    </row>
    <row r="23" spans="1:5" s="263" customFormat="1" ht="46.5" customHeight="1">
      <c r="A23" s="391" t="s">
        <v>942</v>
      </c>
      <c r="B23" s="408" t="s">
        <v>943</v>
      </c>
      <c r="C23" s="392" t="s">
        <v>944</v>
      </c>
      <c r="D23" s="392" t="s">
        <v>945</v>
      </c>
      <c r="E23" s="392" t="s">
        <v>946</v>
      </c>
    </row>
    <row r="24" spans="1:5" s="263" customFormat="1" ht="150" customHeight="1">
      <c r="A24" s="391" t="s">
        <v>947</v>
      </c>
      <c r="B24" s="412" t="s">
        <v>948</v>
      </c>
      <c r="C24" s="392" t="s">
        <v>949</v>
      </c>
      <c r="D24" s="396" t="s">
        <v>1090</v>
      </c>
      <c r="E24" s="392" t="s">
        <v>950</v>
      </c>
    </row>
    <row r="25" spans="1:5" s="263" customFormat="1" ht="126.75" customHeight="1">
      <c r="A25" s="391" t="s">
        <v>951</v>
      </c>
      <c r="B25" s="413" t="s">
        <v>952</v>
      </c>
      <c r="C25" s="403" t="s">
        <v>1150</v>
      </c>
      <c r="D25" s="396"/>
      <c r="E25" s="403" t="s">
        <v>1149</v>
      </c>
    </row>
    <row r="26" spans="1:5" s="263" customFormat="1" ht="247.5">
      <c r="A26" s="391" t="s">
        <v>953</v>
      </c>
      <c r="B26" s="414" t="s">
        <v>954</v>
      </c>
      <c r="C26" s="415" t="s">
        <v>955</v>
      </c>
      <c r="D26" s="416" t="s">
        <v>956</v>
      </c>
      <c r="E26" s="417" t="s">
        <v>1138</v>
      </c>
    </row>
    <row r="27" spans="1:5" s="266" customFormat="1" ht="270">
      <c r="A27" s="391" t="s">
        <v>957</v>
      </c>
      <c r="B27" s="408" t="s">
        <v>958</v>
      </c>
      <c r="C27" s="403" t="s">
        <v>959</v>
      </c>
      <c r="D27" s="393" t="s">
        <v>960</v>
      </c>
      <c r="E27" s="392" t="s">
        <v>961</v>
      </c>
    </row>
    <row r="28" spans="1:5" ht="123.75">
      <c r="A28" s="492" t="s">
        <v>962</v>
      </c>
      <c r="B28" s="493" t="s">
        <v>963</v>
      </c>
      <c r="C28" s="493" t="s">
        <v>964</v>
      </c>
      <c r="D28" s="494" t="s">
        <v>965</v>
      </c>
      <c r="E28" s="493" t="s">
        <v>966</v>
      </c>
    </row>
  </sheetData>
  <pageMargins left="0.5" right="0.5" top="0.9" bottom="0.5" header="0.75" footer="0.25"/>
  <pageSetup firstPageNumber="153" orientation="landscape" useFirstPageNumber="1" r:id="rId1"/>
  <headerFooter alignWithMargins="0">
    <oddHeader>&amp;R&amp;"Arial,Regular"&amp;8SREB-State Data Exchange</oddHeader>
    <oddFooter>&amp;C&amp;"Arial,Regular"&amp;10&amp;P&amp;R&amp;"Arial,Regular"&amp;8December 2010</oddFooter>
  </headerFooter>
  <legacyDrawing r:id="rId2"/>
</worksheet>
</file>

<file path=xl/worksheets/sheet7.xml><?xml version="1.0" encoding="utf-8"?>
<worksheet xmlns="http://schemas.openxmlformats.org/spreadsheetml/2006/main" xmlns:r="http://schemas.openxmlformats.org/officeDocument/2006/relationships">
  <sheetPr>
    <tabColor indexed="58"/>
  </sheetPr>
  <dimension ref="A1:G26"/>
  <sheetViews>
    <sheetView view="pageBreakPreview" zoomScaleNormal="100" zoomScaleSheetLayoutView="100" workbookViewId="0">
      <pane ySplit="3" topLeftCell="A4" activePane="bottomLeft" state="frozen"/>
      <selection pane="bottomLeft" activeCell="D8" sqref="D8"/>
    </sheetView>
  </sheetViews>
  <sheetFormatPr defaultRowHeight="11.25"/>
  <cols>
    <col min="1" max="1" width="17.5" style="267" customWidth="1"/>
    <col min="2" max="2" width="16.875" style="267" customWidth="1"/>
    <col min="3" max="3" width="17.25" style="273" customWidth="1"/>
    <col min="4" max="4" width="17.5" style="267" customWidth="1"/>
    <col min="5" max="5" width="15.875" style="267" customWidth="1"/>
    <col min="6" max="6" width="21.625" style="267" customWidth="1"/>
    <col min="7" max="7" width="13.125" style="268" customWidth="1"/>
    <col min="8" max="256" width="9" style="268"/>
    <col min="257" max="257" width="17.5" style="268" customWidth="1"/>
    <col min="258" max="258" width="16.875" style="268" customWidth="1"/>
    <col min="259" max="259" width="17.25" style="268" customWidth="1"/>
    <col min="260" max="260" width="17.5" style="268" customWidth="1"/>
    <col min="261" max="261" width="25.625" style="268" customWidth="1"/>
    <col min="262" max="262" width="24.625" style="268" customWidth="1"/>
    <col min="263" max="512" width="9" style="268"/>
    <col min="513" max="513" width="17.5" style="268" customWidth="1"/>
    <col min="514" max="514" width="16.875" style="268" customWidth="1"/>
    <col min="515" max="515" width="17.25" style="268" customWidth="1"/>
    <col min="516" max="516" width="17.5" style="268" customWidth="1"/>
    <col min="517" max="517" width="25.625" style="268" customWidth="1"/>
    <col min="518" max="518" width="24.625" style="268" customWidth="1"/>
    <col min="519" max="768" width="9" style="268"/>
    <col min="769" max="769" width="17.5" style="268" customWidth="1"/>
    <col min="770" max="770" width="16.875" style="268" customWidth="1"/>
    <col min="771" max="771" width="17.25" style="268" customWidth="1"/>
    <col min="772" max="772" width="17.5" style="268" customWidth="1"/>
    <col min="773" max="773" width="25.625" style="268" customWidth="1"/>
    <col min="774" max="774" width="24.625" style="268" customWidth="1"/>
    <col min="775" max="1024" width="9" style="268"/>
    <col min="1025" max="1025" width="17.5" style="268" customWidth="1"/>
    <col min="1026" max="1026" width="16.875" style="268" customWidth="1"/>
    <col min="1027" max="1027" width="17.25" style="268" customWidth="1"/>
    <col min="1028" max="1028" width="17.5" style="268" customWidth="1"/>
    <col min="1029" max="1029" width="25.625" style="268" customWidth="1"/>
    <col min="1030" max="1030" width="24.625" style="268" customWidth="1"/>
    <col min="1031" max="1280" width="9" style="268"/>
    <col min="1281" max="1281" width="17.5" style="268" customWidth="1"/>
    <col min="1282" max="1282" width="16.875" style="268" customWidth="1"/>
    <col min="1283" max="1283" width="17.25" style="268" customWidth="1"/>
    <col min="1284" max="1284" width="17.5" style="268" customWidth="1"/>
    <col min="1285" max="1285" width="25.625" style="268" customWidth="1"/>
    <col min="1286" max="1286" width="24.625" style="268" customWidth="1"/>
    <col min="1287" max="1536" width="9" style="268"/>
    <col min="1537" max="1537" width="17.5" style="268" customWidth="1"/>
    <col min="1538" max="1538" width="16.875" style="268" customWidth="1"/>
    <col min="1539" max="1539" width="17.25" style="268" customWidth="1"/>
    <col min="1540" max="1540" width="17.5" style="268" customWidth="1"/>
    <col min="1541" max="1541" width="25.625" style="268" customWidth="1"/>
    <col min="1542" max="1542" width="24.625" style="268" customWidth="1"/>
    <col min="1543" max="1792" width="9" style="268"/>
    <col min="1793" max="1793" width="17.5" style="268" customWidth="1"/>
    <col min="1794" max="1794" width="16.875" style="268" customWidth="1"/>
    <col min="1795" max="1795" width="17.25" style="268" customWidth="1"/>
    <col min="1796" max="1796" width="17.5" style="268" customWidth="1"/>
    <col min="1797" max="1797" width="25.625" style="268" customWidth="1"/>
    <col min="1798" max="1798" width="24.625" style="268" customWidth="1"/>
    <col min="1799" max="2048" width="9" style="268"/>
    <col min="2049" max="2049" width="17.5" style="268" customWidth="1"/>
    <col min="2050" max="2050" width="16.875" style="268" customWidth="1"/>
    <col min="2051" max="2051" width="17.25" style="268" customWidth="1"/>
    <col min="2052" max="2052" width="17.5" style="268" customWidth="1"/>
    <col min="2053" max="2053" width="25.625" style="268" customWidth="1"/>
    <col min="2054" max="2054" width="24.625" style="268" customWidth="1"/>
    <col min="2055" max="2304" width="9" style="268"/>
    <col min="2305" max="2305" width="17.5" style="268" customWidth="1"/>
    <col min="2306" max="2306" width="16.875" style="268" customWidth="1"/>
    <col min="2307" max="2307" width="17.25" style="268" customWidth="1"/>
    <col min="2308" max="2308" width="17.5" style="268" customWidth="1"/>
    <col min="2309" max="2309" width="25.625" style="268" customWidth="1"/>
    <col min="2310" max="2310" width="24.625" style="268" customWidth="1"/>
    <col min="2311" max="2560" width="9" style="268"/>
    <col min="2561" max="2561" width="17.5" style="268" customWidth="1"/>
    <col min="2562" max="2562" width="16.875" style="268" customWidth="1"/>
    <col min="2563" max="2563" width="17.25" style="268" customWidth="1"/>
    <col min="2564" max="2564" width="17.5" style="268" customWidth="1"/>
    <col min="2565" max="2565" width="25.625" style="268" customWidth="1"/>
    <col min="2566" max="2566" width="24.625" style="268" customWidth="1"/>
    <col min="2567" max="2816" width="9" style="268"/>
    <col min="2817" max="2817" width="17.5" style="268" customWidth="1"/>
    <col min="2818" max="2818" width="16.875" style="268" customWidth="1"/>
    <col min="2819" max="2819" width="17.25" style="268" customWidth="1"/>
    <col min="2820" max="2820" width="17.5" style="268" customWidth="1"/>
    <col min="2821" max="2821" width="25.625" style="268" customWidth="1"/>
    <col min="2822" max="2822" width="24.625" style="268" customWidth="1"/>
    <col min="2823" max="3072" width="9" style="268"/>
    <col min="3073" max="3073" width="17.5" style="268" customWidth="1"/>
    <col min="3074" max="3074" width="16.875" style="268" customWidth="1"/>
    <col min="3075" max="3075" width="17.25" style="268" customWidth="1"/>
    <col min="3076" max="3076" width="17.5" style="268" customWidth="1"/>
    <col min="3077" max="3077" width="25.625" style="268" customWidth="1"/>
    <col min="3078" max="3078" width="24.625" style="268" customWidth="1"/>
    <col min="3079" max="3328" width="9" style="268"/>
    <col min="3329" max="3329" width="17.5" style="268" customWidth="1"/>
    <col min="3330" max="3330" width="16.875" style="268" customWidth="1"/>
    <col min="3331" max="3331" width="17.25" style="268" customWidth="1"/>
    <col min="3332" max="3332" width="17.5" style="268" customWidth="1"/>
    <col min="3333" max="3333" width="25.625" style="268" customWidth="1"/>
    <col min="3334" max="3334" width="24.625" style="268" customWidth="1"/>
    <col min="3335" max="3584" width="9" style="268"/>
    <col min="3585" max="3585" width="17.5" style="268" customWidth="1"/>
    <col min="3586" max="3586" width="16.875" style="268" customWidth="1"/>
    <col min="3587" max="3587" width="17.25" style="268" customWidth="1"/>
    <col min="3588" max="3588" width="17.5" style="268" customWidth="1"/>
    <col min="3589" max="3589" width="25.625" style="268" customWidth="1"/>
    <col min="3590" max="3590" width="24.625" style="268" customWidth="1"/>
    <col min="3591" max="3840" width="9" style="268"/>
    <col min="3841" max="3841" width="17.5" style="268" customWidth="1"/>
    <col min="3842" max="3842" width="16.875" style="268" customWidth="1"/>
    <col min="3843" max="3843" width="17.25" style="268" customWidth="1"/>
    <col min="3844" max="3844" width="17.5" style="268" customWidth="1"/>
    <col min="3845" max="3845" width="25.625" style="268" customWidth="1"/>
    <col min="3846" max="3846" width="24.625" style="268" customWidth="1"/>
    <col min="3847" max="4096" width="9" style="268"/>
    <col min="4097" max="4097" width="17.5" style="268" customWidth="1"/>
    <col min="4098" max="4098" width="16.875" style="268" customWidth="1"/>
    <col min="4099" max="4099" width="17.25" style="268" customWidth="1"/>
    <col min="4100" max="4100" width="17.5" style="268" customWidth="1"/>
    <col min="4101" max="4101" width="25.625" style="268" customWidth="1"/>
    <col min="4102" max="4102" width="24.625" style="268" customWidth="1"/>
    <col min="4103" max="4352" width="9" style="268"/>
    <col min="4353" max="4353" width="17.5" style="268" customWidth="1"/>
    <col min="4354" max="4354" width="16.875" style="268" customWidth="1"/>
    <col min="4355" max="4355" width="17.25" style="268" customWidth="1"/>
    <col min="4356" max="4356" width="17.5" style="268" customWidth="1"/>
    <col min="4357" max="4357" width="25.625" style="268" customWidth="1"/>
    <col min="4358" max="4358" width="24.625" style="268" customWidth="1"/>
    <col min="4359" max="4608" width="9" style="268"/>
    <col min="4609" max="4609" width="17.5" style="268" customWidth="1"/>
    <col min="4610" max="4610" width="16.875" style="268" customWidth="1"/>
    <col min="4611" max="4611" width="17.25" style="268" customWidth="1"/>
    <col min="4612" max="4612" width="17.5" style="268" customWidth="1"/>
    <col min="4613" max="4613" width="25.625" style="268" customWidth="1"/>
    <col min="4614" max="4614" width="24.625" style="268" customWidth="1"/>
    <col min="4615" max="4864" width="9" style="268"/>
    <col min="4865" max="4865" width="17.5" style="268" customWidth="1"/>
    <col min="4866" max="4866" width="16.875" style="268" customWidth="1"/>
    <col min="4867" max="4867" width="17.25" style="268" customWidth="1"/>
    <col min="4868" max="4868" width="17.5" style="268" customWidth="1"/>
    <col min="4869" max="4869" width="25.625" style="268" customWidth="1"/>
    <col min="4870" max="4870" width="24.625" style="268" customWidth="1"/>
    <col min="4871" max="5120" width="9" style="268"/>
    <col min="5121" max="5121" width="17.5" style="268" customWidth="1"/>
    <col min="5122" max="5122" width="16.875" style="268" customWidth="1"/>
    <col min="5123" max="5123" width="17.25" style="268" customWidth="1"/>
    <col min="5124" max="5124" width="17.5" style="268" customWidth="1"/>
    <col min="5125" max="5125" width="25.625" style="268" customWidth="1"/>
    <col min="5126" max="5126" width="24.625" style="268" customWidth="1"/>
    <col min="5127" max="5376" width="9" style="268"/>
    <col min="5377" max="5377" width="17.5" style="268" customWidth="1"/>
    <col min="5378" max="5378" width="16.875" style="268" customWidth="1"/>
    <col min="5379" max="5379" width="17.25" style="268" customWidth="1"/>
    <col min="5380" max="5380" width="17.5" style="268" customWidth="1"/>
    <col min="5381" max="5381" width="25.625" style="268" customWidth="1"/>
    <col min="5382" max="5382" width="24.625" style="268" customWidth="1"/>
    <col min="5383" max="5632" width="9" style="268"/>
    <col min="5633" max="5633" width="17.5" style="268" customWidth="1"/>
    <col min="5634" max="5634" width="16.875" style="268" customWidth="1"/>
    <col min="5635" max="5635" width="17.25" style="268" customWidth="1"/>
    <col min="5636" max="5636" width="17.5" style="268" customWidth="1"/>
    <col min="5637" max="5637" width="25.625" style="268" customWidth="1"/>
    <col min="5638" max="5638" width="24.625" style="268" customWidth="1"/>
    <col min="5639" max="5888" width="9" style="268"/>
    <col min="5889" max="5889" width="17.5" style="268" customWidth="1"/>
    <col min="5890" max="5890" width="16.875" style="268" customWidth="1"/>
    <col min="5891" max="5891" width="17.25" style="268" customWidth="1"/>
    <col min="5892" max="5892" width="17.5" style="268" customWidth="1"/>
    <col min="5893" max="5893" width="25.625" style="268" customWidth="1"/>
    <col min="5894" max="5894" width="24.625" style="268" customWidth="1"/>
    <col min="5895" max="6144" width="9" style="268"/>
    <col min="6145" max="6145" width="17.5" style="268" customWidth="1"/>
    <col min="6146" max="6146" width="16.875" style="268" customWidth="1"/>
    <col min="6147" max="6147" width="17.25" style="268" customWidth="1"/>
    <col min="6148" max="6148" width="17.5" style="268" customWidth="1"/>
    <col min="6149" max="6149" width="25.625" style="268" customWidth="1"/>
    <col min="6150" max="6150" width="24.625" style="268" customWidth="1"/>
    <col min="6151" max="6400" width="9" style="268"/>
    <col min="6401" max="6401" width="17.5" style="268" customWidth="1"/>
    <col min="6402" max="6402" width="16.875" style="268" customWidth="1"/>
    <col min="6403" max="6403" width="17.25" style="268" customWidth="1"/>
    <col min="6404" max="6404" width="17.5" style="268" customWidth="1"/>
    <col min="6405" max="6405" width="25.625" style="268" customWidth="1"/>
    <col min="6406" max="6406" width="24.625" style="268" customWidth="1"/>
    <col min="6407" max="6656" width="9" style="268"/>
    <col min="6657" max="6657" width="17.5" style="268" customWidth="1"/>
    <col min="6658" max="6658" width="16.875" style="268" customWidth="1"/>
    <col min="6659" max="6659" width="17.25" style="268" customWidth="1"/>
    <col min="6660" max="6660" width="17.5" style="268" customWidth="1"/>
    <col min="6661" max="6661" width="25.625" style="268" customWidth="1"/>
    <col min="6662" max="6662" width="24.625" style="268" customWidth="1"/>
    <col min="6663" max="6912" width="9" style="268"/>
    <col min="6913" max="6913" width="17.5" style="268" customWidth="1"/>
    <col min="6914" max="6914" width="16.875" style="268" customWidth="1"/>
    <col min="6915" max="6915" width="17.25" style="268" customWidth="1"/>
    <col min="6916" max="6916" width="17.5" style="268" customWidth="1"/>
    <col min="6917" max="6917" width="25.625" style="268" customWidth="1"/>
    <col min="6918" max="6918" width="24.625" style="268" customWidth="1"/>
    <col min="6919" max="7168" width="9" style="268"/>
    <col min="7169" max="7169" width="17.5" style="268" customWidth="1"/>
    <col min="7170" max="7170" width="16.875" style="268" customWidth="1"/>
    <col min="7171" max="7171" width="17.25" style="268" customWidth="1"/>
    <col min="7172" max="7172" width="17.5" style="268" customWidth="1"/>
    <col min="7173" max="7173" width="25.625" style="268" customWidth="1"/>
    <col min="7174" max="7174" width="24.625" style="268" customWidth="1"/>
    <col min="7175" max="7424" width="9" style="268"/>
    <col min="7425" max="7425" width="17.5" style="268" customWidth="1"/>
    <col min="7426" max="7426" width="16.875" style="268" customWidth="1"/>
    <col min="7427" max="7427" width="17.25" style="268" customWidth="1"/>
    <col min="7428" max="7428" width="17.5" style="268" customWidth="1"/>
    <col min="7429" max="7429" width="25.625" style="268" customWidth="1"/>
    <col min="7430" max="7430" width="24.625" style="268" customWidth="1"/>
    <col min="7431" max="7680" width="9" style="268"/>
    <col min="7681" max="7681" width="17.5" style="268" customWidth="1"/>
    <col min="7682" max="7682" width="16.875" style="268" customWidth="1"/>
    <col min="7683" max="7683" width="17.25" style="268" customWidth="1"/>
    <col min="7684" max="7684" width="17.5" style="268" customWidth="1"/>
    <col min="7685" max="7685" width="25.625" style="268" customWidth="1"/>
    <col min="7686" max="7686" width="24.625" style="268" customWidth="1"/>
    <col min="7687" max="7936" width="9" style="268"/>
    <col min="7937" max="7937" width="17.5" style="268" customWidth="1"/>
    <col min="7938" max="7938" width="16.875" style="268" customWidth="1"/>
    <col min="7939" max="7939" width="17.25" style="268" customWidth="1"/>
    <col min="7940" max="7940" width="17.5" style="268" customWidth="1"/>
    <col min="7941" max="7941" width="25.625" style="268" customWidth="1"/>
    <col min="7942" max="7942" width="24.625" style="268" customWidth="1"/>
    <col min="7943" max="8192" width="9" style="268"/>
    <col min="8193" max="8193" width="17.5" style="268" customWidth="1"/>
    <col min="8194" max="8194" width="16.875" style="268" customWidth="1"/>
    <col min="8195" max="8195" width="17.25" style="268" customWidth="1"/>
    <col min="8196" max="8196" width="17.5" style="268" customWidth="1"/>
    <col min="8197" max="8197" width="25.625" style="268" customWidth="1"/>
    <col min="8198" max="8198" width="24.625" style="268" customWidth="1"/>
    <col min="8199" max="8448" width="9" style="268"/>
    <col min="8449" max="8449" width="17.5" style="268" customWidth="1"/>
    <col min="8450" max="8450" width="16.875" style="268" customWidth="1"/>
    <col min="8451" max="8451" width="17.25" style="268" customWidth="1"/>
    <col min="8452" max="8452" width="17.5" style="268" customWidth="1"/>
    <col min="8453" max="8453" width="25.625" style="268" customWidth="1"/>
    <col min="8454" max="8454" width="24.625" style="268" customWidth="1"/>
    <col min="8455" max="8704" width="9" style="268"/>
    <col min="8705" max="8705" width="17.5" style="268" customWidth="1"/>
    <col min="8706" max="8706" width="16.875" style="268" customWidth="1"/>
    <col min="8707" max="8707" width="17.25" style="268" customWidth="1"/>
    <col min="8708" max="8708" width="17.5" style="268" customWidth="1"/>
    <col min="8709" max="8709" width="25.625" style="268" customWidth="1"/>
    <col min="8710" max="8710" width="24.625" style="268" customWidth="1"/>
    <col min="8711" max="8960" width="9" style="268"/>
    <col min="8961" max="8961" width="17.5" style="268" customWidth="1"/>
    <col min="8962" max="8962" width="16.875" style="268" customWidth="1"/>
    <col min="8963" max="8963" width="17.25" style="268" customWidth="1"/>
    <col min="8964" max="8964" width="17.5" style="268" customWidth="1"/>
    <col min="8965" max="8965" width="25.625" style="268" customWidth="1"/>
    <col min="8966" max="8966" width="24.625" style="268" customWidth="1"/>
    <col min="8967" max="9216" width="9" style="268"/>
    <col min="9217" max="9217" width="17.5" style="268" customWidth="1"/>
    <col min="9218" max="9218" width="16.875" style="268" customWidth="1"/>
    <col min="9219" max="9219" width="17.25" style="268" customWidth="1"/>
    <col min="9220" max="9220" width="17.5" style="268" customWidth="1"/>
    <col min="9221" max="9221" width="25.625" style="268" customWidth="1"/>
    <col min="9222" max="9222" width="24.625" style="268" customWidth="1"/>
    <col min="9223" max="9472" width="9" style="268"/>
    <col min="9473" max="9473" width="17.5" style="268" customWidth="1"/>
    <col min="9474" max="9474" width="16.875" style="268" customWidth="1"/>
    <col min="9475" max="9475" width="17.25" style="268" customWidth="1"/>
    <col min="9476" max="9476" width="17.5" style="268" customWidth="1"/>
    <col min="9477" max="9477" width="25.625" style="268" customWidth="1"/>
    <col min="9478" max="9478" width="24.625" style="268" customWidth="1"/>
    <col min="9479" max="9728" width="9" style="268"/>
    <col min="9729" max="9729" width="17.5" style="268" customWidth="1"/>
    <col min="9730" max="9730" width="16.875" style="268" customWidth="1"/>
    <col min="9731" max="9731" width="17.25" style="268" customWidth="1"/>
    <col min="9732" max="9732" width="17.5" style="268" customWidth="1"/>
    <col min="9733" max="9733" width="25.625" style="268" customWidth="1"/>
    <col min="9734" max="9734" width="24.625" style="268" customWidth="1"/>
    <col min="9735" max="9984" width="9" style="268"/>
    <col min="9985" max="9985" width="17.5" style="268" customWidth="1"/>
    <col min="9986" max="9986" width="16.875" style="268" customWidth="1"/>
    <col min="9987" max="9987" width="17.25" style="268" customWidth="1"/>
    <col min="9988" max="9988" width="17.5" style="268" customWidth="1"/>
    <col min="9989" max="9989" width="25.625" style="268" customWidth="1"/>
    <col min="9990" max="9990" width="24.625" style="268" customWidth="1"/>
    <col min="9991" max="10240" width="9" style="268"/>
    <col min="10241" max="10241" width="17.5" style="268" customWidth="1"/>
    <col min="10242" max="10242" width="16.875" style="268" customWidth="1"/>
    <col min="10243" max="10243" width="17.25" style="268" customWidth="1"/>
    <col min="10244" max="10244" width="17.5" style="268" customWidth="1"/>
    <col min="10245" max="10245" width="25.625" style="268" customWidth="1"/>
    <col min="10246" max="10246" width="24.625" style="268" customWidth="1"/>
    <col min="10247" max="10496" width="9" style="268"/>
    <col min="10497" max="10497" width="17.5" style="268" customWidth="1"/>
    <col min="10498" max="10498" width="16.875" style="268" customWidth="1"/>
    <col min="10499" max="10499" width="17.25" style="268" customWidth="1"/>
    <col min="10500" max="10500" width="17.5" style="268" customWidth="1"/>
    <col min="10501" max="10501" width="25.625" style="268" customWidth="1"/>
    <col min="10502" max="10502" width="24.625" style="268" customWidth="1"/>
    <col min="10503" max="10752" width="9" style="268"/>
    <col min="10753" max="10753" width="17.5" style="268" customWidth="1"/>
    <col min="10754" max="10754" width="16.875" style="268" customWidth="1"/>
    <col min="10755" max="10755" width="17.25" style="268" customWidth="1"/>
    <col min="10756" max="10756" width="17.5" style="268" customWidth="1"/>
    <col min="10757" max="10757" width="25.625" style="268" customWidth="1"/>
    <col min="10758" max="10758" width="24.625" style="268" customWidth="1"/>
    <col min="10759" max="11008" width="9" style="268"/>
    <col min="11009" max="11009" width="17.5" style="268" customWidth="1"/>
    <col min="11010" max="11010" width="16.875" style="268" customWidth="1"/>
    <col min="11011" max="11011" width="17.25" style="268" customWidth="1"/>
    <col min="11012" max="11012" width="17.5" style="268" customWidth="1"/>
    <col min="11013" max="11013" width="25.625" style="268" customWidth="1"/>
    <col min="11014" max="11014" width="24.625" style="268" customWidth="1"/>
    <col min="11015" max="11264" width="9" style="268"/>
    <col min="11265" max="11265" width="17.5" style="268" customWidth="1"/>
    <col min="11266" max="11266" width="16.875" style="268" customWidth="1"/>
    <col min="11267" max="11267" width="17.25" style="268" customWidth="1"/>
    <col min="11268" max="11268" width="17.5" style="268" customWidth="1"/>
    <col min="11269" max="11269" width="25.625" style="268" customWidth="1"/>
    <col min="11270" max="11270" width="24.625" style="268" customWidth="1"/>
    <col min="11271" max="11520" width="9" style="268"/>
    <col min="11521" max="11521" width="17.5" style="268" customWidth="1"/>
    <col min="11522" max="11522" width="16.875" style="268" customWidth="1"/>
    <col min="11523" max="11523" width="17.25" style="268" customWidth="1"/>
    <col min="11524" max="11524" width="17.5" style="268" customWidth="1"/>
    <col min="11525" max="11525" width="25.625" style="268" customWidth="1"/>
    <col min="11526" max="11526" width="24.625" style="268" customWidth="1"/>
    <col min="11527" max="11776" width="9" style="268"/>
    <col min="11777" max="11777" width="17.5" style="268" customWidth="1"/>
    <col min="11778" max="11778" width="16.875" style="268" customWidth="1"/>
    <col min="11779" max="11779" width="17.25" style="268" customWidth="1"/>
    <col min="11780" max="11780" width="17.5" style="268" customWidth="1"/>
    <col min="11781" max="11781" width="25.625" style="268" customWidth="1"/>
    <col min="11782" max="11782" width="24.625" style="268" customWidth="1"/>
    <col min="11783" max="12032" width="9" style="268"/>
    <col min="12033" max="12033" width="17.5" style="268" customWidth="1"/>
    <col min="12034" max="12034" width="16.875" style="268" customWidth="1"/>
    <col min="12035" max="12035" width="17.25" style="268" customWidth="1"/>
    <col min="12036" max="12036" width="17.5" style="268" customWidth="1"/>
    <col min="12037" max="12037" width="25.625" style="268" customWidth="1"/>
    <col min="12038" max="12038" width="24.625" style="268" customWidth="1"/>
    <col min="12039" max="12288" width="9" style="268"/>
    <col min="12289" max="12289" width="17.5" style="268" customWidth="1"/>
    <col min="12290" max="12290" width="16.875" style="268" customWidth="1"/>
    <col min="12291" max="12291" width="17.25" style="268" customWidth="1"/>
    <col min="12292" max="12292" width="17.5" style="268" customWidth="1"/>
    <col min="12293" max="12293" width="25.625" style="268" customWidth="1"/>
    <col min="12294" max="12294" width="24.625" style="268" customWidth="1"/>
    <col min="12295" max="12544" width="9" style="268"/>
    <col min="12545" max="12545" width="17.5" style="268" customWidth="1"/>
    <col min="12546" max="12546" width="16.875" style="268" customWidth="1"/>
    <col min="12547" max="12547" width="17.25" style="268" customWidth="1"/>
    <col min="12548" max="12548" width="17.5" style="268" customWidth="1"/>
    <col min="12549" max="12549" width="25.625" style="268" customWidth="1"/>
    <col min="12550" max="12550" width="24.625" style="268" customWidth="1"/>
    <col min="12551" max="12800" width="9" style="268"/>
    <col min="12801" max="12801" width="17.5" style="268" customWidth="1"/>
    <col min="12802" max="12802" width="16.875" style="268" customWidth="1"/>
    <col min="12803" max="12803" width="17.25" style="268" customWidth="1"/>
    <col min="12804" max="12804" width="17.5" style="268" customWidth="1"/>
    <col min="12805" max="12805" width="25.625" style="268" customWidth="1"/>
    <col min="12806" max="12806" width="24.625" style="268" customWidth="1"/>
    <col min="12807" max="13056" width="9" style="268"/>
    <col min="13057" max="13057" width="17.5" style="268" customWidth="1"/>
    <col min="13058" max="13058" width="16.875" style="268" customWidth="1"/>
    <col min="13059" max="13059" width="17.25" style="268" customWidth="1"/>
    <col min="13060" max="13060" width="17.5" style="268" customWidth="1"/>
    <col min="13061" max="13061" width="25.625" style="268" customWidth="1"/>
    <col min="13062" max="13062" width="24.625" style="268" customWidth="1"/>
    <col min="13063" max="13312" width="9" style="268"/>
    <col min="13313" max="13313" width="17.5" style="268" customWidth="1"/>
    <col min="13314" max="13314" width="16.875" style="268" customWidth="1"/>
    <col min="13315" max="13315" width="17.25" style="268" customWidth="1"/>
    <col min="13316" max="13316" width="17.5" style="268" customWidth="1"/>
    <col min="13317" max="13317" width="25.625" style="268" customWidth="1"/>
    <col min="13318" max="13318" width="24.625" style="268" customWidth="1"/>
    <col min="13319" max="13568" width="9" style="268"/>
    <col min="13569" max="13569" width="17.5" style="268" customWidth="1"/>
    <col min="13570" max="13570" width="16.875" style="268" customWidth="1"/>
    <col min="13571" max="13571" width="17.25" style="268" customWidth="1"/>
    <col min="13572" max="13572" width="17.5" style="268" customWidth="1"/>
    <col min="13573" max="13573" width="25.625" style="268" customWidth="1"/>
    <col min="13574" max="13574" width="24.625" style="268" customWidth="1"/>
    <col min="13575" max="13824" width="9" style="268"/>
    <col min="13825" max="13825" width="17.5" style="268" customWidth="1"/>
    <col min="13826" max="13826" width="16.875" style="268" customWidth="1"/>
    <col min="13827" max="13827" width="17.25" style="268" customWidth="1"/>
    <col min="13828" max="13828" width="17.5" style="268" customWidth="1"/>
    <col min="13829" max="13829" width="25.625" style="268" customWidth="1"/>
    <col min="13830" max="13830" width="24.625" style="268" customWidth="1"/>
    <col min="13831" max="14080" width="9" style="268"/>
    <col min="14081" max="14081" width="17.5" style="268" customWidth="1"/>
    <col min="14082" max="14082" width="16.875" style="268" customWidth="1"/>
    <col min="14083" max="14083" width="17.25" style="268" customWidth="1"/>
    <col min="14084" max="14084" width="17.5" style="268" customWidth="1"/>
    <col min="14085" max="14085" width="25.625" style="268" customWidth="1"/>
    <col min="14086" max="14086" width="24.625" style="268" customWidth="1"/>
    <col min="14087" max="14336" width="9" style="268"/>
    <col min="14337" max="14337" width="17.5" style="268" customWidth="1"/>
    <col min="14338" max="14338" width="16.875" style="268" customWidth="1"/>
    <col min="14339" max="14339" width="17.25" style="268" customWidth="1"/>
    <col min="14340" max="14340" width="17.5" style="268" customWidth="1"/>
    <col min="14341" max="14341" width="25.625" style="268" customWidth="1"/>
    <col min="14342" max="14342" width="24.625" style="268" customWidth="1"/>
    <col min="14343" max="14592" width="9" style="268"/>
    <col min="14593" max="14593" width="17.5" style="268" customWidth="1"/>
    <col min="14594" max="14594" width="16.875" style="268" customWidth="1"/>
    <col min="14595" max="14595" width="17.25" style="268" customWidth="1"/>
    <col min="14596" max="14596" width="17.5" style="268" customWidth="1"/>
    <col min="14597" max="14597" width="25.625" style="268" customWidth="1"/>
    <col min="14598" max="14598" width="24.625" style="268" customWidth="1"/>
    <col min="14599" max="14848" width="9" style="268"/>
    <col min="14849" max="14849" width="17.5" style="268" customWidth="1"/>
    <col min="14850" max="14850" width="16.875" style="268" customWidth="1"/>
    <col min="14851" max="14851" width="17.25" style="268" customWidth="1"/>
    <col min="14852" max="14852" width="17.5" style="268" customWidth="1"/>
    <col min="14853" max="14853" width="25.625" style="268" customWidth="1"/>
    <col min="14854" max="14854" width="24.625" style="268" customWidth="1"/>
    <col min="14855" max="15104" width="9" style="268"/>
    <col min="15105" max="15105" width="17.5" style="268" customWidth="1"/>
    <col min="15106" max="15106" width="16.875" style="268" customWidth="1"/>
    <col min="15107" max="15107" width="17.25" style="268" customWidth="1"/>
    <col min="15108" max="15108" width="17.5" style="268" customWidth="1"/>
    <col min="15109" max="15109" width="25.625" style="268" customWidth="1"/>
    <col min="15110" max="15110" width="24.625" style="268" customWidth="1"/>
    <col min="15111" max="15360" width="9" style="268"/>
    <col min="15361" max="15361" width="17.5" style="268" customWidth="1"/>
    <col min="15362" max="15362" width="16.875" style="268" customWidth="1"/>
    <col min="15363" max="15363" width="17.25" style="268" customWidth="1"/>
    <col min="15364" max="15364" width="17.5" style="268" customWidth="1"/>
    <col min="15365" max="15365" width="25.625" style="268" customWidth="1"/>
    <col min="15366" max="15366" width="24.625" style="268" customWidth="1"/>
    <col min="15367" max="15616" width="9" style="268"/>
    <col min="15617" max="15617" width="17.5" style="268" customWidth="1"/>
    <col min="15618" max="15618" width="16.875" style="268" customWidth="1"/>
    <col min="15619" max="15619" width="17.25" style="268" customWidth="1"/>
    <col min="15620" max="15620" width="17.5" style="268" customWidth="1"/>
    <col min="15621" max="15621" width="25.625" style="268" customWidth="1"/>
    <col min="15622" max="15622" width="24.625" style="268" customWidth="1"/>
    <col min="15623" max="15872" width="9" style="268"/>
    <col min="15873" max="15873" width="17.5" style="268" customWidth="1"/>
    <col min="15874" max="15874" width="16.875" style="268" customWidth="1"/>
    <col min="15875" max="15875" width="17.25" style="268" customWidth="1"/>
    <col min="15876" max="15876" width="17.5" style="268" customWidth="1"/>
    <col min="15877" max="15877" width="25.625" style="268" customWidth="1"/>
    <col min="15878" max="15878" width="24.625" style="268" customWidth="1"/>
    <col min="15879" max="16128" width="9" style="268"/>
    <col min="16129" max="16129" width="17.5" style="268" customWidth="1"/>
    <col min="16130" max="16130" width="16.875" style="268" customWidth="1"/>
    <col min="16131" max="16131" width="17.25" style="268" customWidth="1"/>
    <col min="16132" max="16132" width="17.5" style="268" customWidth="1"/>
    <col min="16133" max="16133" width="25.625" style="268" customWidth="1"/>
    <col min="16134" max="16134" width="24.625" style="268" customWidth="1"/>
    <col min="16135" max="16384" width="9" style="268"/>
  </cols>
  <sheetData>
    <row r="1" spans="1:7" ht="18">
      <c r="A1" s="28" t="s">
        <v>1127</v>
      </c>
      <c r="B1" s="472"/>
      <c r="C1" s="472"/>
      <c r="D1" s="472"/>
      <c r="E1" s="472"/>
      <c r="F1" s="268"/>
    </row>
    <row r="2" spans="1:7" s="261" customFormat="1" ht="18">
      <c r="A2" s="269" t="s">
        <v>1044</v>
      </c>
      <c r="B2" s="270"/>
      <c r="C2" s="271"/>
      <c r="D2" s="271"/>
      <c r="E2" s="271"/>
      <c r="F2" s="271"/>
    </row>
    <row r="3" spans="1:7" s="262" customFormat="1" ht="101.25" customHeight="1">
      <c r="A3" s="389" t="s">
        <v>878</v>
      </c>
      <c r="B3" s="389" t="s">
        <v>967</v>
      </c>
      <c r="C3" s="390" t="s">
        <v>1063</v>
      </c>
      <c r="D3" s="390" t="s">
        <v>968</v>
      </c>
      <c r="E3" s="390" t="s">
        <v>969</v>
      </c>
      <c r="F3" s="390" t="s">
        <v>970</v>
      </c>
      <c r="G3" s="390" t="s">
        <v>971</v>
      </c>
    </row>
    <row r="4" spans="1:7" s="263" customFormat="1" ht="243" customHeight="1">
      <c r="A4" s="391" t="s">
        <v>882</v>
      </c>
      <c r="B4" s="392" t="s">
        <v>972</v>
      </c>
      <c r="C4" s="393" t="s">
        <v>1064</v>
      </c>
      <c r="D4" s="393" t="s">
        <v>916</v>
      </c>
      <c r="E4" s="393" t="s">
        <v>973</v>
      </c>
      <c r="F4" s="393" t="s">
        <v>974</v>
      </c>
      <c r="G4" s="393" t="s">
        <v>975</v>
      </c>
    </row>
    <row r="5" spans="1:7" s="263" customFormat="1" ht="45">
      <c r="A5" s="391" t="s">
        <v>887</v>
      </c>
      <c r="B5" s="392" t="s">
        <v>976</v>
      </c>
      <c r="C5" s="392" t="s">
        <v>916</v>
      </c>
      <c r="D5" s="393" t="s">
        <v>977</v>
      </c>
      <c r="E5" s="393" t="s">
        <v>973</v>
      </c>
      <c r="F5" s="393" t="s">
        <v>978</v>
      </c>
      <c r="G5" s="393" t="s">
        <v>916</v>
      </c>
    </row>
    <row r="6" spans="1:7" s="263" customFormat="1" ht="72.75" customHeight="1">
      <c r="A6" s="391" t="s">
        <v>1156</v>
      </c>
      <c r="B6" s="392" t="s">
        <v>972</v>
      </c>
      <c r="C6" s="394" t="s">
        <v>916</v>
      </c>
      <c r="D6" s="394" t="s">
        <v>916</v>
      </c>
      <c r="E6" s="393" t="s">
        <v>973</v>
      </c>
      <c r="F6" s="394" t="s">
        <v>1157</v>
      </c>
      <c r="G6" s="393" t="s">
        <v>979</v>
      </c>
    </row>
    <row r="7" spans="1:7" s="263" customFormat="1" ht="207.75" customHeight="1">
      <c r="A7" s="391" t="s">
        <v>895</v>
      </c>
      <c r="B7" s="392" t="s">
        <v>980</v>
      </c>
      <c r="C7" s="392" t="s">
        <v>1065</v>
      </c>
      <c r="D7" s="394" t="s">
        <v>981</v>
      </c>
      <c r="E7" s="394" t="s">
        <v>982</v>
      </c>
      <c r="F7" s="394" t="s">
        <v>983</v>
      </c>
      <c r="G7" s="394" t="s">
        <v>1143</v>
      </c>
    </row>
    <row r="8" spans="1:7" s="263" customFormat="1" ht="308.25" customHeight="1">
      <c r="A8" s="391" t="s">
        <v>1066</v>
      </c>
      <c r="B8" s="395" t="s">
        <v>900</v>
      </c>
      <c r="C8" s="412" t="s">
        <v>1067</v>
      </c>
      <c r="D8" s="393" t="s">
        <v>1139</v>
      </c>
      <c r="E8" s="393" t="s">
        <v>984</v>
      </c>
      <c r="F8" s="396" t="s">
        <v>985</v>
      </c>
      <c r="G8" s="393" t="s">
        <v>1068</v>
      </c>
    </row>
    <row r="9" spans="1:7" s="263" customFormat="1" ht="381" customHeight="1">
      <c r="A9" s="391" t="s">
        <v>901</v>
      </c>
      <c r="B9" s="395" t="s">
        <v>986</v>
      </c>
      <c r="C9" s="395" t="s">
        <v>1069</v>
      </c>
      <c r="D9" s="393" t="s">
        <v>916</v>
      </c>
      <c r="E9" s="393" t="s">
        <v>973</v>
      </c>
      <c r="F9" s="393" t="s">
        <v>987</v>
      </c>
      <c r="G9" s="393" t="s">
        <v>1144</v>
      </c>
    </row>
    <row r="10" spans="1:7" s="272" customFormat="1" ht="281.25">
      <c r="A10" s="391" t="s">
        <v>903</v>
      </c>
      <c r="B10" s="392" t="s">
        <v>988</v>
      </c>
      <c r="C10" s="392" t="s">
        <v>1140</v>
      </c>
      <c r="D10" s="396" t="s">
        <v>1141</v>
      </c>
      <c r="E10" s="393" t="s">
        <v>984</v>
      </c>
      <c r="F10" s="396" t="s">
        <v>989</v>
      </c>
      <c r="G10" s="393" t="s">
        <v>916</v>
      </c>
    </row>
    <row r="11" spans="1:7" s="264" customFormat="1" ht="90">
      <c r="A11" s="391" t="s">
        <v>906</v>
      </c>
      <c r="B11" s="392" t="s">
        <v>976</v>
      </c>
      <c r="C11" s="392" t="s">
        <v>1070</v>
      </c>
      <c r="D11" s="397" t="s">
        <v>990</v>
      </c>
      <c r="E11" s="397" t="s">
        <v>973</v>
      </c>
      <c r="F11" s="398" t="s">
        <v>991</v>
      </c>
      <c r="G11" s="397" t="s">
        <v>992</v>
      </c>
    </row>
    <row r="12" spans="1:7" s="30" customFormat="1" ht="189.75" customHeight="1">
      <c r="A12" s="391" t="s">
        <v>908</v>
      </c>
      <c r="B12" s="393" t="s">
        <v>976</v>
      </c>
      <c r="C12" s="393" t="s">
        <v>916</v>
      </c>
      <c r="D12" s="393" t="s">
        <v>993</v>
      </c>
      <c r="E12" s="393" t="s">
        <v>973</v>
      </c>
      <c r="F12" s="393" t="s">
        <v>994</v>
      </c>
      <c r="G12" s="393" t="s">
        <v>995</v>
      </c>
    </row>
    <row r="13" spans="1:7" s="263" customFormat="1" ht="88.5" customHeight="1">
      <c r="A13" s="391" t="s">
        <v>913</v>
      </c>
      <c r="B13" s="392" t="s">
        <v>949</v>
      </c>
      <c r="C13" s="392" t="s">
        <v>1071</v>
      </c>
      <c r="D13" s="396" t="s">
        <v>996</v>
      </c>
      <c r="E13" s="393" t="s">
        <v>973</v>
      </c>
      <c r="F13" s="392" t="s">
        <v>997</v>
      </c>
      <c r="G13" s="393" t="s">
        <v>916</v>
      </c>
    </row>
    <row r="14" spans="1:7" s="263" customFormat="1" ht="186.75" customHeight="1">
      <c r="A14" s="391" t="s">
        <v>918</v>
      </c>
      <c r="B14" s="399" t="s">
        <v>998</v>
      </c>
      <c r="C14" s="399" t="s">
        <v>1072</v>
      </c>
      <c r="D14" s="396" t="s">
        <v>996</v>
      </c>
      <c r="E14" s="393" t="s">
        <v>973</v>
      </c>
      <c r="F14" s="392" t="s">
        <v>999</v>
      </c>
      <c r="G14" s="393"/>
    </row>
    <row r="15" spans="1:7" s="263" customFormat="1" ht="193.5" customHeight="1">
      <c r="A15" s="400" t="s">
        <v>920</v>
      </c>
      <c r="B15" s="400" t="s">
        <v>1073</v>
      </c>
      <c r="C15" s="400" t="s">
        <v>1074</v>
      </c>
      <c r="D15" s="400" t="s">
        <v>916</v>
      </c>
      <c r="E15" s="400" t="s">
        <v>916</v>
      </c>
      <c r="F15" s="400" t="s">
        <v>1075</v>
      </c>
      <c r="G15" s="400" t="s">
        <v>916</v>
      </c>
    </row>
    <row r="16" spans="1:7" s="30" customFormat="1" ht="84" customHeight="1">
      <c r="A16" s="391" t="s">
        <v>922</v>
      </c>
      <c r="B16" s="392" t="s">
        <v>976</v>
      </c>
      <c r="C16" s="392" t="s">
        <v>1076</v>
      </c>
      <c r="D16" s="393" t="s">
        <v>1000</v>
      </c>
      <c r="E16" s="393" t="s">
        <v>973</v>
      </c>
      <c r="F16" s="393" t="s">
        <v>1001</v>
      </c>
      <c r="G16" s="393" t="s">
        <v>1002</v>
      </c>
    </row>
    <row r="17" spans="1:7" s="263" customFormat="1" ht="108.75" customHeight="1">
      <c r="A17" s="391" t="s">
        <v>926</v>
      </c>
      <c r="B17" s="392" t="s">
        <v>1003</v>
      </c>
      <c r="C17" s="392"/>
      <c r="D17" s="396" t="s">
        <v>916</v>
      </c>
      <c r="E17" s="393" t="s">
        <v>984</v>
      </c>
      <c r="F17" s="396" t="s">
        <v>1004</v>
      </c>
      <c r="G17" s="393" t="s">
        <v>1114</v>
      </c>
    </row>
    <row r="18" spans="1:7" s="263" customFormat="1" ht="22.5">
      <c r="A18" s="391" t="s">
        <v>931</v>
      </c>
      <c r="B18" s="395" t="s">
        <v>1005</v>
      </c>
      <c r="C18" s="395"/>
      <c r="D18" s="396" t="s">
        <v>1006</v>
      </c>
      <c r="E18" s="400" t="s">
        <v>984</v>
      </c>
      <c r="F18" s="396"/>
      <c r="G18" s="393" t="s">
        <v>916</v>
      </c>
    </row>
    <row r="19" spans="1:7" s="263" customFormat="1" ht="161.25" customHeight="1">
      <c r="A19" s="391" t="s">
        <v>934</v>
      </c>
      <c r="B19" s="401" t="s">
        <v>1007</v>
      </c>
      <c r="C19" s="401" t="s">
        <v>1077</v>
      </c>
      <c r="D19" s="402" t="s">
        <v>1008</v>
      </c>
      <c r="E19" s="400" t="s">
        <v>973</v>
      </c>
      <c r="F19" s="402" t="s">
        <v>1008</v>
      </c>
      <c r="G19" s="400" t="s">
        <v>916</v>
      </c>
    </row>
    <row r="20" spans="1:7" s="265" customFormat="1" ht="56.25">
      <c r="A20" s="391" t="s">
        <v>938</v>
      </c>
      <c r="B20" s="392" t="s">
        <v>976</v>
      </c>
      <c r="C20" s="392" t="s">
        <v>1073</v>
      </c>
      <c r="D20" s="396" t="s">
        <v>1078</v>
      </c>
      <c r="E20" s="393" t="s">
        <v>973</v>
      </c>
      <c r="F20" s="392" t="s">
        <v>1009</v>
      </c>
      <c r="G20" s="393" t="s">
        <v>979</v>
      </c>
    </row>
    <row r="21" spans="1:7" s="265" customFormat="1" ht="33.75">
      <c r="A21" s="391" t="s">
        <v>942</v>
      </c>
      <c r="B21" s="392" t="s">
        <v>944</v>
      </c>
      <c r="C21" s="392"/>
      <c r="D21" s="396" t="s">
        <v>1010</v>
      </c>
      <c r="E21" s="393" t="s">
        <v>1011</v>
      </c>
      <c r="F21" s="392" t="s">
        <v>1012</v>
      </c>
      <c r="G21" s="393" t="s">
        <v>944</v>
      </c>
    </row>
    <row r="22" spans="1:7" s="263" customFormat="1" ht="409.5">
      <c r="A22" s="391" t="s">
        <v>947</v>
      </c>
      <c r="B22" s="395" t="s">
        <v>1013</v>
      </c>
      <c r="C22" s="395" t="s">
        <v>1079</v>
      </c>
      <c r="D22" s="396" t="s">
        <v>1145</v>
      </c>
      <c r="E22" s="393" t="s">
        <v>973</v>
      </c>
      <c r="F22" s="396" t="s">
        <v>1014</v>
      </c>
      <c r="G22" s="393" t="s">
        <v>916</v>
      </c>
    </row>
    <row r="23" spans="1:7" s="263" customFormat="1" ht="60.75" customHeight="1">
      <c r="A23" s="391" t="s">
        <v>951</v>
      </c>
      <c r="B23" s="403" t="s">
        <v>1015</v>
      </c>
      <c r="C23" s="403" t="s">
        <v>916</v>
      </c>
      <c r="D23" s="393" t="s">
        <v>1016</v>
      </c>
      <c r="E23" s="393" t="s">
        <v>973</v>
      </c>
      <c r="F23" s="396" t="s">
        <v>1080</v>
      </c>
      <c r="G23" s="393" t="s">
        <v>979</v>
      </c>
    </row>
    <row r="24" spans="1:7" s="263" customFormat="1" ht="391.5" customHeight="1">
      <c r="A24" s="391" t="s">
        <v>953</v>
      </c>
      <c r="B24" s="403" t="s">
        <v>1017</v>
      </c>
      <c r="C24" s="403" t="s">
        <v>1081</v>
      </c>
      <c r="D24" s="393" t="s">
        <v>1018</v>
      </c>
      <c r="E24" s="393" t="s">
        <v>982</v>
      </c>
      <c r="F24" s="404" t="s">
        <v>1019</v>
      </c>
      <c r="G24" s="405" t="s">
        <v>1020</v>
      </c>
    </row>
    <row r="25" spans="1:7" s="263" customFormat="1" ht="247.5" customHeight="1">
      <c r="A25" s="391" t="s">
        <v>957</v>
      </c>
      <c r="B25" s="392" t="s">
        <v>1021</v>
      </c>
      <c r="C25" s="392" t="s">
        <v>1082</v>
      </c>
      <c r="D25" s="393" t="s">
        <v>1022</v>
      </c>
      <c r="E25" s="393" t="s">
        <v>973</v>
      </c>
      <c r="F25" s="393" t="s">
        <v>1023</v>
      </c>
      <c r="G25" s="393" t="s">
        <v>1024</v>
      </c>
    </row>
    <row r="26" spans="1:7" s="266" customFormat="1" ht="67.5">
      <c r="A26" s="406" t="s">
        <v>962</v>
      </c>
      <c r="B26" s="495" t="s">
        <v>976</v>
      </c>
      <c r="C26" s="495" t="s">
        <v>1073</v>
      </c>
      <c r="D26" s="496" t="s">
        <v>1025</v>
      </c>
      <c r="E26" s="496" t="s">
        <v>973</v>
      </c>
      <c r="F26" s="496" t="s">
        <v>1026</v>
      </c>
      <c r="G26" s="496" t="s">
        <v>1027</v>
      </c>
    </row>
  </sheetData>
  <pageMargins left="0.5" right="0.5" top="0.9" bottom="0.5" header="0.75" footer="0.25"/>
  <pageSetup scale="91" firstPageNumber="164" orientation="landscape" useFirstPageNumber="1" r:id="rId1"/>
  <headerFooter alignWithMargins="0">
    <oddHeader>&amp;R&amp;"Arial,Regular"&amp;10SREB-State Data Exchange</oddHeader>
    <oddFooter>&amp;C&amp;"Arial,Regular"&amp;10&amp;P&amp;R&amp;"Arial,Regular"&amp;10December 2009</oddFooter>
  </headerFooter>
  <rowBreaks count="2" manualBreakCount="2">
    <brk id="15" max="6" man="1"/>
    <brk id="2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Tuit Mid-Yr Increases-Table 133</vt:lpstr>
      <vt:lpstr>NEW...Tabs 134-141</vt:lpstr>
      <vt:lpstr>OLD...Tables 98-105</vt:lpstr>
      <vt:lpstr>Summary Medians</vt:lpstr>
      <vt:lpstr>Tuition &amp; Fees Data</vt:lpstr>
      <vt:lpstr>Tuition &amp; Fees Policies A</vt:lpstr>
      <vt:lpstr>Tuition &amp; Fees Policies B</vt:lpstr>
      <vt:lpstr>'NEW...Tabs 134-141'!Print_Area</vt:lpstr>
      <vt:lpstr>'OLD...Tables 98-105'!Print_Area</vt:lpstr>
      <vt:lpstr>'Summary Medians'!Print_Area</vt:lpstr>
      <vt:lpstr>'Tuit Mid-Yr Increases-Table 133'!Print_Area</vt:lpstr>
      <vt:lpstr>'Tuition &amp; Fees Policies A'!Print_Area</vt:lpstr>
      <vt:lpstr>'Tuition &amp; Fees Policies B'!Print_Area</vt:lpstr>
      <vt:lpstr>'Summary Medians'!Print_Titles</vt:lpstr>
      <vt:lpstr>'Tuition &amp; Fees Policies A'!Print_Titles</vt:lpstr>
      <vt:lpstr>'Tuition &amp; Fees Policies B'!Print_Titles</vt:lpstr>
    </vt:vector>
  </TitlesOfParts>
  <Company>SREB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jmarks</cp:lastModifiedBy>
  <cp:lastPrinted>2011-01-05T15:00:47Z</cp:lastPrinted>
  <dcterms:created xsi:type="dcterms:W3CDTF">1999-02-24T13:58:47Z</dcterms:created>
  <dcterms:modified xsi:type="dcterms:W3CDTF">2011-02-02T16:18:36Z</dcterms:modified>
</cp:coreProperties>
</file>